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jones\Desktop\"/>
    </mc:Choice>
  </mc:AlternateContent>
  <bookViews>
    <workbookView xWindow="-15" yWindow="-15" windowWidth="7500" windowHeight="6285" activeTab="1"/>
  </bookViews>
  <sheets>
    <sheet name="Instructions" sheetId="32" r:id="rId1"/>
    <sheet name="R-4 Form (1)" sheetId="30" r:id="rId2"/>
    <sheet name="R-4 Form (2)" sheetId="62" r:id="rId3"/>
    <sheet name="R-4 Form (3)" sheetId="63" r:id="rId4"/>
    <sheet name="UU" sheetId="45" r:id="rId5"/>
    <sheet name="USU" sheetId="44" r:id="rId6"/>
    <sheet name="WSU" sheetId="43" r:id="rId7"/>
    <sheet name="SUU" sheetId="46" r:id="rId8"/>
    <sheet name="SC" sheetId="47" r:id="rId9"/>
    <sheet name="DSU" sheetId="48" r:id="rId10"/>
    <sheet name="UVU" sheetId="49" r:id="rId11"/>
    <sheet name="SLCC" sheetId="50" r:id="rId12"/>
    <sheet name="Tuition Match" sheetId="33" r:id="rId13"/>
    <sheet name="Res UG &amp; Grad Rate" sheetId="1" state="hidden" r:id="rId14"/>
    <sheet name="Non- Res UG &amp; Grad Rate" sheetId="4" state="hidden" r:id="rId15"/>
    <sheet name="1st &amp; 2nd Tier Uses" sheetId="26" state="hidden" r:id="rId16"/>
    <sheet name="Inflation-tuition benchmarks" sheetId="13" state="hidden" r:id="rId17"/>
    <sheet name="Chart Data (Not In Agenda)" sheetId="5" state="hidden" r:id="rId18"/>
    <sheet name="WICHE &amp; RM Data" sheetId="42" state="hidden" r:id="rId19"/>
    <sheet name="WICHE &amp; RM UG Charts" sheetId="16" state="hidden" r:id="rId20"/>
    <sheet name="WICHE &amp; RM GR Charts" sheetId="17" state="hidden" r:id="rId21"/>
    <sheet name="Table 1 &amp; 2" sheetId="35" state="hidden" r:id="rId22"/>
    <sheet name="Table 3" sheetId="36" state="hidden" r:id="rId23"/>
    <sheet name="Table 4" sheetId="37" state="hidden" r:id="rId24"/>
    <sheet name="Table 5 &amp; 6" sheetId="38" state="hidden" r:id="rId25"/>
    <sheet name="Table 7" sheetId="39" state="hidden" r:id="rId26"/>
    <sheet name="Table 8 &amp; 9" sheetId="40" state="hidden" r:id="rId27"/>
    <sheet name="Table 10 &amp; 11" sheetId="41" state="hidden" r:id="rId28"/>
    <sheet name="Sheet1" sheetId="28" r:id="rId29"/>
  </sheets>
  <externalReferences>
    <externalReference r:id="rId30"/>
    <externalReference r:id="rId31"/>
    <externalReference r:id="rId32"/>
    <externalReference r:id="rId33"/>
  </externalReferences>
  <definedNames>
    <definedName name="_xlnm._FilterDatabase" localSheetId="26" hidden="1">'Table 8 &amp; 9'!$A$39:$J$40</definedName>
    <definedName name="Current" localSheetId="21">[1]Directions!$C$4</definedName>
    <definedName name="Current" localSheetId="27">[1]Directions!$C$4</definedName>
    <definedName name="Current" localSheetId="22">[1]Directions!$C$4</definedName>
    <definedName name="Current" localSheetId="23">[1]Directions!$C$4</definedName>
    <definedName name="Current" localSheetId="24">[1]Directions!$C$4</definedName>
    <definedName name="Current" localSheetId="25">[1]Directions!$C$4</definedName>
    <definedName name="Current" localSheetId="26">[1]Directions!$C$4</definedName>
    <definedName name="Current">[2]Directions!$C$4</definedName>
    <definedName name="Institution" localSheetId="9">#REF!</definedName>
    <definedName name="Institution" localSheetId="2">#REF!</definedName>
    <definedName name="Institution" localSheetId="3">#REF!</definedName>
    <definedName name="Institution" localSheetId="8">#REF!</definedName>
    <definedName name="Institution" localSheetId="11">#REF!</definedName>
    <definedName name="Institution" localSheetId="7">#REF!</definedName>
    <definedName name="Institution" localSheetId="12">#REF!</definedName>
    <definedName name="Institution" localSheetId="5">#REF!</definedName>
    <definedName name="Institution" localSheetId="4">#REF!</definedName>
    <definedName name="Institution" localSheetId="10">#REF!</definedName>
    <definedName name="Institution">#REF!</definedName>
    <definedName name="nothing" localSheetId="21">[3]Directions!$C$4</definedName>
    <definedName name="nothing" localSheetId="27">[3]Directions!$C$4</definedName>
    <definedName name="nothing" localSheetId="22">[3]Directions!$C$4</definedName>
    <definedName name="nothing" localSheetId="23">[3]Directions!$C$4</definedName>
    <definedName name="nothing" localSheetId="24">[3]Directions!$C$4</definedName>
    <definedName name="nothing" localSheetId="25">[3]Directions!$C$4</definedName>
    <definedName name="nothing" localSheetId="26">[3]Directions!$C$4</definedName>
    <definedName name="nothing">[4]Directions!$C$4</definedName>
    <definedName name="_xlnm.Print_Area" localSheetId="15">'1st &amp; 2nd Tier Uses'!$A$1:$D$52</definedName>
    <definedName name="_xlnm.Print_Area" localSheetId="9">DSU!$A$1:$I$54</definedName>
    <definedName name="_xlnm.Print_Area" localSheetId="16">'Inflation-tuition benchmarks'!$A$1:$AF$99</definedName>
    <definedName name="_xlnm.Print_Area" localSheetId="0">Instructions!$A$1:$K$33</definedName>
    <definedName name="_xlnm.Print_Area" localSheetId="14">'Non- Res UG &amp; Grad Rate'!$A$1:$F$44</definedName>
    <definedName name="_xlnm.Print_Area" localSheetId="1">'R-4 Form (1)'!$A$1:$H$73</definedName>
    <definedName name="_xlnm.Print_Area" localSheetId="2">'R-4 Form (2)'!$A$1:$H$73</definedName>
    <definedName name="_xlnm.Print_Area" localSheetId="3">'R-4 Form (3)'!$A$1:$H$73</definedName>
    <definedName name="_xlnm.Print_Area" localSheetId="13">'Res UG &amp; Grad Rate'!$A$1:$F$44</definedName>
    <definedName name="_xlnm.Print_Area" localSheetId="8">SC!$A$1:$I$54</definedName>
    <definedName name="_xlnm.Print_Area" localSheetId="11">SLCC!$A$1:$I$54</definedName>
    <definedName name="_xlnm.Print_Area" localSheetId="7">SUU!$A$1:$I$54</definedName>
    <definedName name="_xlnm.Print_Area" localSheetId="21">'Table 1 &amp; 2'!$A$1:$I$98</definedName>
    <definedName name="_xlnm.Print_Area" localSheetId="27">'Table 10 &amp; 11'!$A$1:$L$52</definedName>
    <definedName name="_xlnm.Print_Area" localSheetId="22">'Table 3'!$A$1:$CH$46</definedName>
    <definedName name="_xlnm.Print_Area" localSheetId="23">'Table 4'!$A$1:$BR$49</definedName>
    <definedName name="_xlnm.Print_Area" localSheetId="24">'Table 5 &amp; 6'!$A$1:$L$148</definedName>
    <definedName name="_xlnm.Print_Area" localSheetId="25">'Table 7'!$A$1:$AF$33</definedName>
    <definedName name="_xlnm.Print_Area" localSheetId="26">'Table 8 &amp; 9'!$A$1:$L$53</definedName>
    <definedName name="_xlnm.Print_Area" localSheetId="12">'Tuition Match'!$A$1:$AP$24</definedName>
    <definedName name="_xlnm.Print_Area" localSheetId="5">USU!$A$1:$I$54</definedName>
    <definedName name="_xlnm.Print_Area" localSheetId="4">UU!$A$1:$I$54</definedName>
    <definedName name="_xlnm.Print_Area" localSheetId="10">UVU!$A$1:$I$54</definedName>
    <definedName name="_xlnm.Print_Area" localSheetId="20">'WICHE &amp; RM GR Charts'!$A$1:$W$49</definedName>
    <definedName name="_xlnm.Print_Area" localSheetId="19">'WICHE &amp; RM UG Charts'!$A$1:$W$61</definedName>
    <definedName name="_xlnm.Print_Area" localSheetId="6">WSU!$A$1:$I$54</definedName>
    <definedName name="_xlnm.Print_Titles" localSheetId="15">'1st &amp; 2nd Tier Uses'!$1:$2</definedName>
    <definedName name="_xlnm.Print_Titles" localSheetId="16">'Inflation-tuition benchmarks'!$1:$2</definedName>
    <definedName name="ten_yr_prior" localSheetId="21">[1]Directions!$D$4</definedName>
    <definedName name="ten_yr_prior" localSheetId="27">[1]Directions!$D$4</definedName>
    <definedName name="ten_yr_prior" localSheetId="22">[1]Directions!$D$4</definedName>
    <definedName name="ten_yr_prior" localSheetId="23">[1]Directions!$D$4</definedName>
    <definedName name="ten_yr_prior" localSheetId="24">[1]Directions!$D$4</definedName>
    <definedName name="ten_yr_prior" localSheetId="25">[1]Directions!$D$4</definedName>
    <definedName name="ten_yr_prior" localSheetId="26">[1]Directions!$D$4</definedName>
    <definedName name="ten_yr_prior">[2]Directions!$D$4</definedName>
  </definedNames>
  <calcPr calcId="162913"/>
</workbook>
</file>

<file path=xl/calcChain.xml><?xml version="1.0" encoding="utf-8"?>
<calcChain xmlns="http://schemas.openxmlformats.org/spreadsheetml/2006/main">
  <c r="AL10" i="33" l="1"/>
  <c r="D70" i="63" l="1"/>
  <c r="D69" i="63"/>
  <c r="D68" i="63"/>
  <c r="D67" i="63"/>
  <c r="G62" i="63"/>
  <c r="E62" i="63"/>
  <c r="F62" i="63" s="1"/>
  <c r="F68" i="63" s="1"/>
  <c r="G68" i="63" s="1"/>
  <c r="G61" i="63"/>
  <c r="E61" i="63"/>
  <c r="F61" i="63" s="1"/>
  <c r="G60" i="63"/>
  <c r="E60" i="63"/>
  <c r="F60" i="63" s="1"/>
  <c r="G59" i="63"/>
  <c r="F59" i="63"/>
  <c r="F69" i="63" s="1"/>
  <c r="G69" i="63" s="1"/>
  <c r="E59" i="63"/>
  <c r="F54" i="63"/>
  <c r="E54" i="63"/>
  <c r="G53" i="63"/>
  <c r="G52" i="63"/>
  <c r="G51" i="63"/>
  <c r="G50" i="63"/>
  <c r="G49" i="63"/>
  <c r="G48" i="63"/>
  <c r="G54" i="63" s="1"/>
  <c r="F40" i="63"/>
  <c r="E40" i="63"/>
  <c r="G39" i="63"/>
  <c r="G38" i="63"/>
  <c r="G37" i="63"/>
  <c r="G40" i="63" s="1"/>
  <c r="G29" i="63"/>
  <c r="F21" i="63"/>
  <c r="E21" i="63"/>
  <c r="G20" i="63"/>
  <c r="G19" i="63"/>
  <c r="G18" i="63"/>
  <c r="G17" i="63"/>
  <c r="G16" i="63"/>
  <c r="G15" i="63"/>
  <c r="G21" i="63" s="1"/>
  <c r="G2" i="63"/>
  <c r="D70" i="62"/>
  <c r="D69" i="62"/>
  <c r="D68" i="62"/>
  <c r="D67" i="62"/>
  <c r="G62" i="62"/>
  <c r="E62" i="62"/>
  <c r="F62" i="62" s="1"/>
  <c r="F68" i="62" s="1"/>
  <c r="G68" i="62" s="1"/>
  <c r="G61" i="62"/>
  <c r="E61" i="62"/>
  <c r="F61" i="62" s="1"/>
  <c r="G60" i="62"/>
  <c r="F60" i="62"/>
  <c r="F70" i="62" s="1"/>
  <c r="G70" i="62" s="1"/>
  <c r="E60" i="62"/>
  <c r="G59" i="62"/>
  <c r="E59" i="62"/>
  <c r="F59" i="62" s="1"/>
  <c r="F69" i="62" s="1"/>
  <c r="G69" i="62" s="1"/>
  <c r="F54" i="62"/>
  <c r="E54" i="62"/>
  <c r="G53" i="62"/>
  <c r="G52" i="62"/>
  <c r="G51" i="62"/>
  <c r="G50" i="62"/>
  <c r="G49" i="62"/>
  <c r="G48" i="62"/>
  <c r="G54" i="62" s="1"/>
  <c r="F40" i="62"/>
  <c r="E40" i="62"/>
  <c r="G39" i="62"/>
  <c r="G38" i="62"/>
  <c r="G37" i="62"/>
  <c r="G40" i="62" s="1"/>
  <c r="G29" i="62"/>
  <c r="F21" i="62"/>
  <c r="E21" i="62"/>
  <c r="G20" i="62"/>
  <c r="G19" i="62"/>
  <c r="G18" i="62"/>
  <c r="G17" i="62"/>
  <c r="G16" i="62"/>
  <c r="G15" i="62"/>
  <c r="G21" i="62" s="1"/>
  <c r="G2" i="62"/>
  <c r="F67" i="63" l="1"/>
  <c r="G67" i="63" s="1"/>
  <c r="F70" i="63"/>
  <c r="G70" i="63" s="1"/>
  <c r="F67" i="62"/>
  <c r="G67" i="62" s="1"/>
  <c r="F21" i="30"/>
  <c r="E21" i="30"/>
  <c r="G20" i="30"/>
  <c r="G19" i="30"/>
  <c r="G18" i="30"/>
  <c r="G17" i="30"/>
  <c r="G16" i="30"/>
  <c r="G15" i="30"/>
  <c r="G21" i="30" l="1"/>
  <c r="B7" i="45"/>
  <c r="B6" i="45"/>
  <c r="B8" i="45"/>
  <c r="G53" i="30" l="1"/>
  <c r="G52" i="30"/>
  <c r="G51" i="30"/>
  <c r="G50" i="30"/>
  <c r="G49" i="30"/>
  <c r="G48" i="30"/>
  <c r="G39" i="30"/>
  <c r="G38" i="30"/>
  <c r="G37" i="30"/>
  <c r="F54" i="30"/>
  <c r="E54" i="30"/>
  <c r="F40" i="30"/>
  <c r="E40" i="30"/>
  <c r="G54" i="30" l="1"/>
  <c r="G40" i="30"/>
  <c r="D70" i="30" l="1"/>
  <c r="D69" i="30"/>
  <c r="D68" i="30"/>
  <c r="D67" i="30"/>
  <c r="G62" i="30"/>
  <c r="G61" i="30"/>
  <c r="G60" i="30"/>
  <c r="G59" i="30" l="1"/>
  <c r="G29" i="30"/>
  <c r="B16" i="45" l="1"/>
  <c r="B15" i="45"/>
  <c r="B14" i="45"/>
  <c r="B20" i="44"/>
  <c r="B15" i="44"/>
  <c r="B19" i="44"/>
  <c r="B18" i="44"/>
  <c r="B16" i="44"/>
  <c r="B17" i="44"/>
  <c r="F16" i="44"/>
  <c r="H16" i="44" s="1"/>
  <c r="F16" i="43"/>
  <c r="G16" i="43" s="1"/>
  <c r="F16" i="46"/>
  <c r="G16" i="46" s="1"/>
  <c r="F16" i="47"/>
  <c r="H16" i="47" s="1"/>
  <c r="F16" i="48"/>
  <c r="H16" i="48" s="1"/>
  <c r="F16" i="49"/>
  <c r="G16" i="49" s="1"/>
  <c r="F16" i="50"/>
  <c r="G16" i="50" s="1"/>
  <c r="F16" i="45"/>
  <c r="H16" i="45" s="1"/>
  <c r="B14" i="44"/>
  <c r="B27" i="50"/>
  <c r="B27" i="48"/>
  <c r="B27" i="47"/>
  <c r="B27" i="49"/>
  <c r="B27" i="46"/>
  <c r="B27" i="43"/>
  <c r="B27" i="44"/>
  <c r="B27" i="45"/>
  <c r="H16" i="43" l="1"/>
  <c r="H16" i="49"/>
  <c r="H16" i="50"/>
  <c r="G16" i="48"/>
  <c r="H16" i="46"/>
  <c r="G16" i="44"/>
  <c r="G16" i="45"/>
  <c r="G16" i="47"/>
  <c r="F20" i="43"/>
  <c r="G20" i="43" s="1"/>
  <c r="F19" i="43"/>
  <c r="H19" i="43" s="1"/>
  <c r="F18" i="43"/>
  <c r="G18" i="43" s="1"/>
  <c r="F17" i="43"/>
  <c r="G17" i="43" s="1"/>
  <c r="F15" i="43"/>
  <c r="G15" i="43" s="1"/>
  <c r="F14" i="43"/>
  <c r="G14" i="43" s="1"/>
  <c r="F20" i="46"/>
  <c r="H20" i="46" s="1"/>
  <c r="F19" i="46"/>
  <c r="G19" i="46" s="1"/>
  <c r="F18" i="46"/>
  <c r="H18" i="46" s="1"/>
  <c r="F17" i="46"/>
  <c r="G17" i="46" s="1"/>
  <c r="F15" i="46"/>
  <c r="G15" i="46" s="1"/>
  <c r="F14" i="46"/>
  <c r="G14" i="46" s="1"/>
  <c r="F20" i="47"/>
  <c r="G20" i="47" s="1"/>
  <c r="F19" i="47"/>
  <c r="G19" i="47" s="1"/>
  <c r="F18" i="47"/>
  <c r="G18" i="47" s="1"/>
  <c r="F17" i="47"/>
  <c r="H17" i="47" s="1"/>
  <c r="F15" i="47"/>
  <c r="G15" i="47" s="1"/>
  <c r="F14" i="47"/>
  <c r="H14" i="47" s="1"/>
  <c r="F20" i="48"/>
  <c r="G20" i="48" s="1"/>
  <c r="F19" i="48"/>
  <c r="G19" i="48" s="1"/>
  <c r="F18" i="48"/>
  <c r="H18" i="48" s="1"/>
  <c r="F17" i="48"/>
  <c r="G17" i="48" s="1"/>
  <c r="F15" i="48"/>
  <c r="H15" i="48" s="1"/>
  <c r="F14" i="48"/>
  <c r="G14" i="48" s="1"/>
  <c r="F20" i="49"/>
  <c r="G20" i="49" s="1"/>
  <c r="F19" i="49"/>
  <c r="G19" i="49" s="1"/>
  <c r="F18" i="49"/>
  <c r="G18" i="49" s="1"/>
  <c r="F17" i="49"/>
  <c r="G17" i="49" s="1"/>
  <c r="F15" i="49"/>
  <c r="G15" i="49" s="1"/>
  <c r="F14" i="49"/>
  <c r="H14" i="49" s="1"/>
  <c r="F20" i="50"/>
  <c r="G20" i="50" s="1"/>
  <c r="F19" i="50"/>
  <c r="G19" i="50" s="1"/>
  <c r="F18" i="50"/>
  <c r="H18" i="50" s="1"/>
  <c r="F17" i="50"/>
  <c r="G17" i="50" s="1"/>
  <c r="F15" i="50"/>
  <c r="H15" i="50" s="1"/>
  <c r="F14" i="50"/>
  <c r="G14" i="50" s="1"/>
  <c r="F20" i="44"/>
  <c r="G20" i="44" s="1"/>
  <c r="F19" i="44"/>
  <c r="G19" i="44" s="1"/>
  <c r="F18" i="44"/>
  <c r="G18" i="44" s="1"/>
  <c r="F17" i="44"/>
  <c r="H17" i="44" s="1"/>
  <c r="F15" i="44"/>
  <c r="G15" i="44" s="1"/>
  <c r="F14" i="44"/>
  <c r="H14" i="44" s="1"/>
  <c r="F20" i="45"/>
  <c r="G20" i="45" s="1"/>
  <c r="F19" i="45"/>
  <c r="G19" i="45" s="1"/>
  <c r="F18" i="45"/>
  <c r="H18" i="45" s="1"/>
  <c r="F17" i="45"/>
  <c r="H17" i="45" s="1"/>
  <c r="F15" i="45"/>
  <c r="H15" i="45" s="1"/>
  <c r="F14" i="45"/>
  <c r="G14" i="45" s="1"/>
  <c r="G14" i="49"/>
  <c r="G14" i="47" l="1"/>
  <c r="H20" i="50"/>
  <c r="G20" i="46"/>
  <c r="H20" i="48"/>
  <c r="H14" i="43"/>
  <c r="G15" i="48"/>
  <c r="H15" i="46"/>
  <c r="H18" i="43"/>
  <c r="H18" i="44"/>
  <c r="H14" i="46"/>
  <c r="H15" i="47"/>
  <c r="G17" i="44"/>
  <c r="H17" i="49"/>
  <c r="H17" i="43"/>
  <c r="H20" i="44"/>
  <c r="G18" i="45"/>
  <c r="H20" i="49"/>
  <c r="G19" i="43"/>
  <c r="G18" i="50"/>
  <c r="H19" i="47"/>
  <c r="H20" i="47"/>
  <c r="G18" i="46"/>
  <c r="G17" i="45"/>
  <c r="H17" i="50"/>
  <c r="H19" i="49"/>
  <c r="H17" i="48"/>
  <c r="H17" i="46"/>
  <c r="H19" i="44"/>
  <c r="H14" i="48"/>
  <c r="G17" i="47"/>
  <c r="G14" i="44"/>
  <c r="H14" i="50"/>
  <c r="G18" i="48"/>
  <c r="H20" i="43"/>
  <c r="G15" i="50"/>
  <c r="H18" i="49"/>
  <c r="H18" i="47"/>
  <c r="H15" i="44"/>
  <c r="H19" i="50"/>
  <c r="H15" i="49"/>
  <c r="H19" i="48"/>
  <c r="H19" i="46"/>
  <c r="H15" i="43"/>
  <c r="H14" i="45"/>
  <c r="H19" i="45"/>
  <c r="G15" i="45"/>
  <c r="H20" i="45"/>
  <c r="G10" i="44" l="1"/>
  <c r="B7" i="44"/>
  <c r="B6" i="44"/>
  <c r="B6" i="50"/>
  <c r="B6" i="48"/>
  <c r="B6" i="49"/>
  <c r="B6" i="47"/>
  <c r="B6" i="46"/>
  <c r="B6" i="43"/>
  <c r="B8" i="44" l="1"/>
  <c r="D40" i="50"/>
  <c r="E40" i="50" s="1"/>
  <c r="C36" i="50"/>
  <c r="G31" i="50"/>
  <c r="F31" i="50"/>
  <c r="H30" i="50"/>
  <c r="D30" i="50"/>
  <c r="H29" i="50"/>
  <c r="D29" i="50"/>
  <c r="H28" i="50"/>
  <c r="D28" i="50"/>
  <c r="H27" i="50"/>
  <c r="C31" i="50"/>
  <c r="B31" i="50"/>
  <c r="E21" i="50"/>
  <c r="D21" i="50"/>
  <c r="D34" i="50" s="1"/>
  <c r="C21" i="50"/>
  <c r="B21" i="50"/>
  <c r="F8" i="50"/>
  <c r="I8" i="50" s="1"/>
  <c r="E8" i="50"/>
  <c r="H8" i="50" s="1"/>
  <c r="D8" i="50"/>
  <c r="G8" i="50" s="1"/>
  <c r="C8" i="50"/>
  <c r="F7" i="50"/>
  <c r="I7" i="50" s="1"/>
  <c r="E7" i="50"/>
  <c r="H7" i="50" s="1"/>
  <c r="D7" i="50"/>
  <c r="G7" i="50" s="1"/>
  <c r="C7" i="50"/>
  <c r="E6" i="50"/>
  <c r="H6" i="50" s="1"/>
  <c r="D6" i="50"/>
  <c r="G6" i="50" s="1"/>
  <c r="C6" i="50"/>
  <c r="B9" i="50"/>
  <c r="D40" i="49"/>
  <c r="E40" i="49" s="1"/>
  <c r="C36" i="49"/>
  <c r="G31" i="49"/>
  <c r="F31" i="49"/>
  <c r="H30" i="49"/>
  <c r="D30" i="49"/>
  <c r="H29" i="49"/>
  <c r="D29" i="49"/>
  <c r="H28" i="49"/>
  <c r="D28" i="49"/>
  <c r="H27" i="49"/>
  <c r="C31" i="49"/>
  <c r="B31" i="49"/>
  <c r="E21" i="49"/>
  <c r="D21" i="49"/>
  <c r="D34" i="49" s="1"/>
  <c r="C21" i="49"/>
  <c r="B21" i="49"/>
  <c r="F8" i="49"/>
  <c r="I8" i="49" s="1"/>
  <c r="E8" i="49"/>
  <c r="H8" i="49" s="1"/>
  <c r="D8" i="49"/>
  <c r="G8" i="49" s="1"/>
  <c r="C8" i="49"/>
  <c r="F7" i="49"/>
  <c r="I7" i="49" s="1"/>
  <c r="E7" i="49"/>
  <c r="H7" i="49" s="1"/>
  <c r="D7" i="49"/>
  <c r="G7" i="49" s="1"/>
  <c r="C7" i="49"/>
  <c r="E6" i="49"/>
  <c r="H6" i="49" s="1"/>
  <c r="C6" i="49"/>
  <c r="B9" i="49"/>
  <c r="D40" i="48"/>
  <c r="E40" i="48" s="1"/>
  <c r="C36" i="48"/>
  <c r="G31" i="48"/>
  <c r="F31" i="48"/>
  <c r="C31" i="48"/>
  <c r="B31" i="48"/>
  <c r="H30" i="48"/>
  <c r="D30" i="48"/>
  <c r="H29" i="48"/>
  <c r="D29" i="48"/>
  <c r="H28" i="48"/>
  <c r="D28" i="48"/>
  <c r="H27" i="48"/>
  <c r="D27" i="48"/>
  <c r="E21" i="48"/>
  <c r="D21" i="48"/>
  <c r="D34" i="48" s="1"/>
  <c r="C21" i="48"/>
  <c r="B21" i="48"/>
  <c r="F8" i="48"/>
  <c r="I8" i="48" s="1"/>
  <c r="E8" i="48"/>
  <c r="H8" i="48" s="1"/>
  <c r="D8" i="48"/>
  <c r="G8" i="48" s="1"/>
  <c r="C8" i="48"/>
  <c r="F7" i="48"/>
  <c r="I7" i="48" s="1"/>
  <c r="E7" i="48"/>
  <c r="H7" i="48" s="1"/>
  <c r="D7" i="48"/>
  <c r="G7" i="48" s="1"/>
  <c r="C7" i="48"/>
  <c r="E6" i="48"/>
  <c r="H6" i="48" s="1"/>
  <c r="B9" i="48"/>
  <c r="D40" i="47"/>
  <c r="E40" i="47" s="1"/>
  <c r="C36" i="47"/>
  <c r="G31" i="47"/>
  <c r="F31" i="47"/>
  <c r="C31" i="47"/>
  <c r="H30" i="47"/>
  <c r="D30" i="47"/>
  <c r="H29" i="47"/>
  <c r="D29" i="47"/>
  <c r="H28" i="47"/>
  <c r="D28" i="47"/>
  <c r="H27" i="47"/>
  <c r="B31" i="47"/>
  <c r="E21" i="47"/>
  <c r="D21" i="47"/>
  <c r="D34" i="47" s="1"/>
  <c r="B21" i="47"/>
  <c r="C21" i="47"/>
  <c r="F8" i="47"/>
  <c r="I8" i="47" s="1"/>
  <c r="E8" i="47"/>
  <c r="H8" i="47" s="1"/>
  <c r="D8" i="47"/>
  <c r="G8" i="47" s="1"/>
  <c r="C8" i="47"/>
  <c r="F7" i="47"/>
  <c r="I7" i="47" s="1"/>
  <c r="E7" i="47"/>
  <c r="H7" i="47" s="1"/>
  <c r="D7" i="47"/>
  <c r="G7" i="47" s="1"/>
  <c r="C7" i="47"/>
  <c r="E6" i="47"/>
  <c r="H6" i="47" s="1"/>
  <c r="D40" i="46"/>
  <c r="E40" i="46" s="1"/>
  <c r="C36" i="46"/>
  <c r="G31" i="46"/>
  <c r="F31" i="46"/>
  <c r="C31" i="46"/>
  <c r="H30" i="46"/>
  <c r="D30" i="46"/>
  <c r="H29" i="46"/>
  <c r="D29" i="46"/>
  <c r="H28" i="46"/>
  <c r="D28" i="46"/>
  <c r="H27" i="46"/>
  <c r="B31" i="46"/>
  <c r="E21" i="46"/>
  <c r="D21" i="46"/>
  <c r="D34" i="46" s="1"/>
  <c r="B21" i="46"/>
  <c r="C21" i="46"/>
  <c r="F8" i="46"/>
  <c r="I8" i="46" s="1"/>
  <c r="E8" i="46"/>
  <c r="H8" i="46" s="1"/>
  <c r="D8" i="46"/>
  <c r="G8" i="46" s="1"/>
  <c r="C8" i="46"/>
  <c r="F7" i="46"/>
  <c r="I7" i="46" s="1"/>
  <c r="E7" i="46"/>
  <c r="H7" i="46" s="1"/>
  <c r="D7" i="46"/>
  <c r="G7" i="46" s="1"/>
  <c r="C7" i="46"/>
  <c r="E6" i="46"/>
  <c r="H6" i="46" s="1"/>
  <c r="D40" i="45"/>
  <c r="E40" i="45" s="1"/>
  <c r="C36" i="45"/>
  <c r="G31" i="45"/>
  <c r="F31" i="45"/>
  <c r="H30" i="45"/>
  <c r="D30" i="45"/>
  <c r="H29" i="45"/>
  <c r="D29" i="45"/>
  <c r="H28" i="45"/>
  <c r="D28" i="45"/>
  <c r="H27" i="45"/>
  <c r="C31" i="45"/>
  <c r="B31" i="45"/>
  <c r="E21" i="45"/>
  <c r="D21" i="45"/>
  <c r="D34" i="45" s="1"/>
  <c r="C21" i="45"/>
  <c r="B21" i="45"/>
  <c r="F8" i="45"/>
  <c r="I8" i="45" s="1"/>
  <c r="E8" i="45"/>
  <c r="H8" i="45" s="1"/>
  <c r="D8" i="45"/>
  <c r="G8" i="45" s="1"/>
  <c r="C8" i="45"/>
  <c r="F7" i="45"/>
  <c r="I7" i="45" s="1"/>
  <c r="E7" i="45"/>
  <c r="H7" i="45" s="1"/>
  <c r="D7" i="45"/>
  <c r="G7" i="45" s="1"/>
  <c r="C7" i="45"/>
  <c r="E6" i="45"/>
  <c r="H6" i="45" s="1"/>
  <c r="D6" i="45"/>
  <c r="G6" i="45" s="1"/>
  <c r="C6" i="45"/>
  <c r="B9" i="45"/>
  <c r="D40" i="44"/>
  <c r="E40" i="44" s="1"/>
  <c r="C36" i="44"/>
  <c r="G31" i="44"/>
  <c r="F31" i="44"/>
  <c r="C31" i="44"/>
  <c r="B31" i="44"/>
  <c r="H30" i="44"/>
  <c r="D30" i="44"/>
  <c r="H29" i="44"/>
  <c r="D29" i="44"/>
  <c r="H28" i="44"/>
  <c r="D28" i="44"/>
  <c r="H27" i="44"/>
  <c r="D27" i="44"/>
  <c r="E21" i="44"/>
  <c r="D21" i="44"/>
  <c r="D34" i="44" s="1"/>
  <c r="C21" i="44"/>
  <c r="B21" i="44"/>
  <c r="F8" i="44"/>
  <c r="I8" i="44" s="1"/>
  <c r="E8" i="44"/>
  <c r="H8" i="44" s="1"/>
  <c r="D8" i="44"/>
  <c r="G8" i="44" s="1"/>
  <c r="C8" i="44"/>
  <c r="F7" i="44"/>
  <c r="I7" i="44" s="1"/>
  <c r="E7" i="44"/>
  <c r="H7" i="44" s="1"/>
  <c r="D7" i="44"/>
  <c r="G7" i="44" s="1"/>
  <c r="C7" i="44"/>
  <c r="E6" i="44"/>
  <c r="H6" i="44" s="1"/>
  <c r="B9" i="44"/>
  <c r="H31" i="44" l="1"/>
  <c r="D31" i="44"/>
  <c r="D31" i="48"/>
  <c r="H31" i="50"/>
  <c r="H31" i="46"/>
  <c r="H31" i="47"/>
  <c r="H31" i="48"/>
  <c r="H31" i="49"/>
  <c r="D36" i="50"/>
  <c r="F21" i="50"/>
  <c r="D35" i="50"/>
  <c r="D36" i="46"/>
  <c r="D35" i="46"/>
  <c r="F21" i="46"/>
  <c r="D35" i="47"/>
  <c r="F21" i="47"/>
  <c r="D36" i="47"/>
  <c r="D36" i="49"/>
  <c r="D35" i="49"/>
  <c r="F21" i="49"/>
  <c r="E22" i="44"/>
  <c r="D36" i="48"/>
  <c r="D35" i="48"/>
  <c r="F21" i="48"/>
  <c r="F21" i="44"/>
  <c r="D36" i="44"/>
  <c r="D35" i="44"/>
  <c r="F21" i="45"/>
  <c r="D36" i="45"/>
  <c r="D35" i="45"/>
  <c r="C22" i="49"/>
  <c r="E22" i="48"/>
  <c r="C22" i="45"/>
  <c r="E22" i="47"/>
  <c r="D22" i="49"/>
  <c r="E22" i="49"/>
  <c r="E22" i="50"/>
  <c r="D22" i="45"/>
  <c r="H31" i="45"/>
  <c r="D22" i="50"/>
  <c r="C22" i="50"/>
  <c r="D22" i="48"/>
  <c r="D22" i="47"/>
  <c r="D22" i="46"/>
  <c r="E22" i="46"/>
  <c r="D22" i="44"/>
  <c r="E22" i="45"/>
  <c r="F9" i="50"/>
  <c r="I9" i="50" s="1"/>
  <c r="E9" i="50"/>
  <c r="H9" i="50" s="1"/>
  <c r="D9" i="50"/>
  <c r="G9" i="50" s="1"/>
  <c r="C9" i="50"/>
  <c r="D27" i="50"/>
  <c r="D31" i="50" s="1"/>
  <c r="F6" i="50"/>
  <c r="I6" i="50" s="1"/>
  <c r="F9" i="49"/>
  <c r="I9" i="49" s="1"/>
  <c r="E9" i="49"/>
  <c r="H9" i="49" s="1"/>
  <c r="D9" i="49"/>
  <c r="G9" i="49" s="1"/>
  <c r="C9" i="49"/>
  <c r="D27" i="49"/>
  <c r="D31" i="49" s="1"/>
  <c r="F6" i="49"/>
  <c r="I6" i="49" s="1"/>
  <c r="D6" i="49"/>
  <c r="G6" i="49" s="1"/>
  <c r="F9" i="48"/>
  <c r="I9" i="48" s="1"/>
  <c r="E9" i="48"/>
  <c r="H9" i="48" s="1"/>
  <c r="D9" i="48"/>
  <c r="G9" i="48" s="1"/>
  <c r="C9" i="48"/>
  <c r="F6" i="48"/>
  <c r="I6" i="48" s="1"/>
  <c r="C6" i="48"/>
  <c r="C22" i="48"/>
  <c r="D6" i="48"/>
  <c r="G6" i="48" s="1"/>
  <c r="C22" i="47"/>
  <c r="F6" i="47"/>
  <c r="I6" i="47" s="1"/>
  <c r="C6" i="47"/>
  <c r="D6" i="47"/>
  <c r="G6" i="47" s="1"/>
  <c r="B9" i="47"/>
  <c r="D27" i="47"/>
  <c r="D31" i="47" s="1"/>
  <c r="C22" i="46"/>
  <c r="F6" i="46"/>
  <c r="I6" i="46" s="1"/>
  <c r="C6" i="46"/>
  <c r="D6" i="46"/>
  <c r="G6" i="46" s="1"/>
  <c r="B9" i="46"/>
  <c r="D27" i="46"/>
  <c r="D31" i="46" s="1"/>
  <c r="F9" i="45"/>
  <c r="I9" i="45" s="1"/>
  <c r="D9" i="45"/>
  <c r="G9" i="45" s="1"/>
  <c r="C9" i="45"/>
  <c r="E9" i="45"/>
  <c r="H9" i="45" s="1"/>
  <c r="D27" i="45"/>
  <c r="D31" i="45" s="1"/>
  <c r="F6" i="45"/>
  <c r="I6" i="45" s="1"/>
  <c r="F9" i="44"/>
  <c r="I9" i="44" s="1"/>
  <c r="C9" i="44"/>
  <c r="E9" i="44"/>
  <c r="H9" i="44" s="1"/>
  <c r="D9" i="44"/>
  <c r="G9" i="44" s="1"/>
  <c r="F6" i="44"/>
  <c r="I6" i="44" s="1"/>
  <c r="C6" i="44"/>
  <c r="C22" i="44"/>
  <c r="D6" i="44"/>
  <c r="G6" i="44" s="1"/>
  <c r="D40" i="43"/>
  <c r="E40" i="43" s="1"/>
  <c r="C36" i="43"/>
  <c r="H30" i="43"/>
  <c r="H29" i="43"/>
  <c r="H28" i="43"/>
  <c r="H27" i="43"/>
  <c r="G31" i="43"/>
  <c r="F31" i="43"/>
  <c r="G21" i="46" l="1"/>
  <c r="F22" i="46"/>
  <c r="H21" i="46"/>
  <c r="G21" i="48"/>
  <c r="F22" i="48"/>
  <c r="H21" i="48"/>
  <c r="F22" i="49"/>
  <c r="H21" i="49"/>
  <c r="G21" i="49"/>
  <c r="G21" i="47"/>
  <c r="H21" i="47"/>
  <c r="F22" i="47"/>
  <c r="G21" i="50"/>
  <c r="F22" i="50"/>
  <c r="H21" i="50"/>
  <c r="G21" i="44"/>
  <c r="H21" i="44"/>
  <c r="F22" i="44"/>
  <c r="F22" i="45"/>
  <c r="G21" i="45"/>
  <c r="H21" i="45"/>
  <c r="C9" i="47"/>
  <c r="F9" i="47"/>
  <c r="I9" i="47" s="1"/>
  <c r="E9" i="47"/>
  <c r="H9" i="47" s="1"/>
  <c r="D9" i="47"/>
  <c r="G9" i="47" s="1"/>
  <c r="C9" i="46"/>
  <c r="F9" i="46"/>
  <c r="I9" i="46" s="1"/>
  <c r="E9" i="46"/>
  <c r="H9" i="46" s="1"/>
  <c r="D9" i="46"/>
  <c r="G9" i="46" s="1"/>
  <c r="H31" i="43"/>
  <c r="D30" i="43" l="1"/>
  <c r="D29" i="43"/>
  <c r="D28" i="43"/>
  <c r="C31" i="43"/>
  <c r="B31" i="43"/>
  <c r="E21" i="43"/>
  <c r="D21" i="43"/>
  <c r="D34" i="43" s="1"/>
  <c r="B21" i="43"/>
  <c r="E22" i="43" l="1"/>
  <c r="C21" i="43"/>
  <c r="D22" i="43"/>
  <c r="D35" i="43" l="1"/>
  <c r="F21" i="43"/>
  <c r="D36" i="43"/>
  <c r="C22" i="43"/>
  <c r="F22" i="43" l="1"/>
  <c r="H21" i="43"/>
  <c r="G21" i="43"/>
  <c r="F8" i="43"/>
  <c r="I8" i="43" s="1"/>
  <c r="F7" i="43"/>
  <c r="I7" i="43" s="1"/>
  <c r="E8" i="43"/>
  <c r="H8" i="43" s="1"/>
  <c r="E7" i="43"/>
  <c r="H7" i="43" s="1"/>
  <c r="D8" i="43"/>
  <c r="G8" i="43" s="1"/>
  <c r="D7" i="43"/>
  <c r="G7" i="43" s="1"/>
  <c r="C8" i="43"/>
  <c r="C7" i="43"/>
  <c r="F6" i="43" l="1"/>
  <c r="E6" i="43"/>
  <c r="H6" i="43" s="1"/>
  <c r="D6" i="43"/>
  <c r="G6" i="43" s="1"/>
  <c r="B9" i="43"/>
  <c r="C9" i="43" s="1"/>
  <c r="I6" i="43"/>
  <c r="C6" i="43"/>
  <c r="F9" i="43" l="1"/>
  <c r="I9" i="43" s="1"/>
  <c r="D9" i="43"/>
  <c r="G9" i="43" s="1"/>
  <c r="E9" i="43"/>
  <c r="H9" i="43" s="1"/>
  <c r="D27" i="43" l="1"/>
  <c r="D31" i="43" s="1"/>
  <c r="E61" i="30"/>
  <c r="F61" i="30" s="1"/>
  <c r="E62" i="30" l="1"/>
  <c r="F62" i="30" s="1"/>
  <c r="F68" i="30" s="1"/>
  <c r="E60" i="30"/>
  <c r="F60" i="30" s="1"/>
  <c r="E59" i="30"/>
  <c r="F59" i="30" s="1"/>
  <c r="F69" i="30" s="1"/>
  <c r="AJ16" i="33"/>
  <c r="AJ15" i="33"/>
  <c r="AJ14" i="33"/>
  <c r="AJ13" i="33"/>
  <c r="AJ12" i="33"/>
  <c r="AJ11" i="33"/>
  <c r="AI10" i="33"/>
  <c r="AI11" i="33"/>
  <c r="AO16" i="33"/>
  <c r="AP16" i="33" s="1"/>
  <c r="AO15" i="33"/>
  <c r="AP15" i="33" s="1"/>
  <c r="AO14" i="33"/>
  <c r="AP14" i="33" s="1"/>
  <c r="AO13" i="33"/>
  <c r="AP13" i="33" s="1"/>
  <c r="AO12" i="33"/>
  <c r="AP12" i="33" s="1"/>
  <c r="AO11" i="33"/>
  <c r="AP11" i="33" s="1"/>
  <c r="AM16" i="33"/>
  <c r="AM15" i="33"/>
  <c r="AM14" i="33"/>
  <c r="AM13" i="33"/>
  <c r="AM12" i="33"/>
  <c r="AM11" i="33"/>
  <c r="AL24" i="33"/>
  <c r="AI24" i="33"/>
  <c r="AF24" i="33"/>
  <c r="AB24" i="33"/>
  <c r="W24" i="33"/>
  <c r="AG16" i="33"/>
  <c r="AG15" i="33"/>
  <c r="AG14" i="33"/>
  <c r="AG13" i="33"/>
  <c r="AG12" i="33"/>
  <c r="AG11" i="33"/>
  <c r="AC16" i="33"/>
  <c r="AC15" i="33"/>
  <c r="AC14" i="33"/>
  <c r="AC13" i="33"/>
  <c r="AC12" i="33"/>
  <c r="AC11" i="33"/>
  <c r="AF10" i="33"/>
  <c r="AB10" i="33"/>
  <c r="W10" i="33"/>
  <c r="F67" i="30" l="1"/>
  <c r="F70" i="30"/>
  <c r="W11" i="33"/>
  <c r="AF9" i="33" l="1"/>
  <c r="AB9" i="33"/>
  <c r="AO22" i="33" l="1"/>
  <c r="AO20" i="33"/>
  <c r="AO18" i="33"/>
  <c r="AO10" i="33"/>
  <c r="AO21" i="33"/>
  <c r="AO19" i="33"/>
  <c r="AO17" i="33"/>
  <c r="AO9" i="33"/>
  <c r="AM48" i="33"/>
  <c r="AM47" i="33"/>
  <c r="AM22" i="33"/>
  <c r="AM21" i="33"/>
  <c r="AM20" i="33"/>
  <c r="AM19" i="33"/>
  <c r="AM18" i="33"/>
  <c r="AM17" i="33"/>
  <c r="AM10" i="33"/>
  <c r="AM9" i="33"/>
  <c r="AO24" i="33" l="1"/>
  <c r="AF143" i="13"/>
  <c r="AF132" i="13"/>
  <c r="AH440" i="42" l="1"/>
  <c r="AG440" i="42"/>
  <c r="AF440" i="42"/>
  <c r="AE440" i="42"/>
  <c r="AD440" i="42"/>
  <c r="AC440" i="42"/>
  <c r="J440" i="42"/>
  <c r="I440" i="42"/>
  <c r="H440" i="42"/>
  <c r="G440" i="42"/>
  <c r="F440" i="42"/>
  <c r="E440" i="42"/>
  <c r="AH439" i="42"/>
  <c r="AG439" i="42"/>
  <c r="AF439" i="42"/>
  <c r="AE439" i="42"/>
  <c r="AD439" i="42"/>
  <c r="AC439" i="42"/>
  <c r="J439" i="42"/>
  <c r="I439" i="42"/>
  <c r="H439" i="42"/>
  <c r="G439" i="42"/>
  <c r="F439" i="42"/>
  <c r="E439" i="42"/>
  <c r="AH438" i="42"/>
  <c r="AG438" i="42"/>
  <c r="AF438" i="42"/>
  <c r="AE438" i="42"/>
  <c r="AD438" i="42"/>
  <c r="AC438" i="42"/>
  <c r="J438" i="42"/>
  <c r="I438" i="42"/>
  <c r="H438" i="42"/>
  <c r="G438" i="42"/>
  <c r="F438" i="42"/>
  <c r="E438" i="42"/>
  <c r="AH437" i="42"/>
  <c r="AG437" i="42"/>
  <c r="AF437" i="42"/>
  <c r="AE437" i="42"/>
  <c r="AD437" i="42"/>
  <c r="AC437" i="42"/>
  <c r="J437" i="42"/>
  <c r="I437" i="42"/>
  <c r="H437" i="42"/>
  <c r="G437" i="42"/>
  <c r="F437" i="42"/>
  <c r="E437" i="42"/>
  <c r="AH436" i="42"/>
  <c r="AG436" i="42"/>
  <c r="AF436" i="42"/>
  <c r="AE436" i="42"/>
  <c r="AD436" i="42"/>
  <c r="AC436" i="42"/>
  <c r="J436" i="42"/>
  <c r="I436" i="42"/>
  <c r="H436" i="42"/>
  <c r="G436" i="42"/>
  <c r="F436" i="42"/>
  <c r="E436" i="42"/>
  <c r="AH435" i="42"/>
  <c r="AG435" i="42"/>
  <c r="AF435" i="42"/>
  <c r="AE435" i="42"/>
  <c r="AD435" i="42"/>
  <c r="AC435" i="42"/>
  <c r="J435" i="42"/>
  <c r="I435" i="42"/>
  <c r="H435" i="42"/>
  <c r="G435" i="42"/>
  <c r="F435" i="42"/>
  <c r="E435" i="42"/>
  <c r="AH434" i="42"/>
  <c r="AG434" i="42"/>
  <c r="AF434" i="42"/>
  <c r="AE434" i="42"/>
  <c r="AD434" i="42"/>
  <c r="AC434" i="42"/>
  <c r="J434" i="42"/>
  <c r="I434" i="42"/>
  <c r="H434" i="42"/>
  <c r="G434" i="42"/>
  <c r="F434" i="42"/>
  <c r="E434" i="42"/>
  <c r="AI432" i="42"/>
  <c r="AH432" i="42"/>
  <c r="AG432" i="42"/>
  <c r="AF432" i="42"/>
  <c r="AE432" i="42"/>
  <c r="AD432" i="42"/>
  <c r="AC432" i="42"/>
  <c r="K432" i="42"/>
  <c r="J432" i="42"/>
  <c r="I432" i="42"/>
  <c r="H432" i="42"/>
  <c r="G432" i="42"/>
  <c r="F432" i="42"/>
  <c r="E432" i="42"/>
  <c r="AI431" i="42"/>
  <c r="AH431" i="42"/>
  <c r="AG431" i="42"/>
  <c r="AF431" i="42"/>
  <c r="AE431" i="42"/>
  <c r="AD431" i="42"/>
  <c r="AC431" i="42"/>
  <c r="K431" i="42"/>
  <c r="J431" i="42"/>
  <c r="I431" i="42"/>
  <c r="H431" i="42"/>
  <c r="G431" i="42"/>
  <c r="F431" i="42"/>
  <c r="E431" i="42"/>
  <c r="AI430" i="42"/>
  <c r="AH430" i="42"/>
  <c r="AG430" i="42"/>
  <c r="AF430" i="42"/>
  <c r="AE430" i="42"/>
  <c r="AD430" i="42"/>
  <c r="AC430" i="42"/>
  <c r="K430" i="42"/>
  <c r="J430" i="42"/>
  <c r="I430" i="42"/>
  <c r="H430" i="42"/>
  <c r="G430" i="42"/>
  <c r="F430" i="42"/>
  <c r="E430" i="42"/>
  <c r="AM429" i="42"/>
  <c r="AL429" i="42"/>
  <c r="AK429" i="42"/>
  <c r="AJ429" i="42"/>
  <c r="AI429" i="42"/>
  <c r="AH429" i="42"/>
  <c r="AG429" i="42"/>
  <c r="AF429" i="42"/>
  <c r="AE429" i="42"/>
  <c r="AD429" i="42"/>
  <c r="AC429" i="42"/>
  <c r="O429" i="42"/>
  <c r="N429" i="42"/>
  <c r="M429" i="42"/>
  <c r="L429" i="42"/>
  <c r="K429" i="42"/>
  <c r="J429" i="42"/>
  <c r="I429" i="42"/>
  <c r="H429" i="42"/>
  <c r="G429" i="42"/>
  <c r="F429" i="42"/>
  <c r="E429" i="42"/>
  <c r="AM428" i="42"/>
  <c r="AL428" i="42"/>
  <c r="AK428" i="42"/>
  <c r="AJ428" i="42"/>
  <c r="AI428" i="42"/>
  <c r="AH428" i="42"/>
  <c r="AG428" i="42"/>
  <c r="AF428" i="42"/>
  <c r="AE428" i="42"/>
  <c r="AD428" i="42"/>
  <c r="AC428" i="42"/>
  <c r="O428" i="42"/>
  <c r="N428" i="42"/>
  <c r="M428" i="42"/>
  <c r="L428" i="42"/>
  <c r="K428" i="42"/>
  <c r="J428" i="42"/>
  <c r="I428" i="42"/>
  <c r="H428" i="42"/>
  <c r="G428" i="42"/>
  <c r="F428" i="42"/>
  <c r="E428" i="42"/>
  <c r="AM427" i="42"/>
  <c r="AL427" i="42"/>
  <c r="AK427" i="42"/>
  <c r="AJ427" i="42"/>
  <c r="AI427" i="42"/>
  <c r="AH427" i="42"/>
  <c r="AG427" i="42"/>
  <c r="AF427" i="42"/>
  <c r="AE427" i="42"/>
  <c r="AD427" i="42"/>
  <c r="AC427" i="42"/>
  <c r="O427" i="42"/>
  <c r="N427" i="42"/>
  <c r="M427" i="42"/>
  <c r="L427" i="42"/>
  <c r="K427" i="42"/>
  <c r="J427" i="42"/>
  <c r="I427" i="42"/>
  <c r="H427" i="42"/>
  <c r="G427" i="42"/>
  <c r="F427" i="42"/>
  <c r="E427" i="42"/>
  <c r="AJ426" i="42"/>
  <c r="AI426" i="42"/>
  <c r="AH426" i="42"/>
  <c r="AG426" i="42"/>
  <c r="AF426" i="42"/>
  <c r="AE426" i="42"/>
  <c r="AD426" i="42"/>
  <c r="AC426" i="42"/>
  <c r="L426" i="42"/>
  <c r="K426" i="42"/>
  <c r="J426" i="42"/>
  <c r="I426" i="42"/>
  <c r="H426" i="42"/>
  <c r="G426" i="42"/>
  <c r="F426" i="42"/>
  <c r="E426" i="42"/>
  <c r="AO162" i="42"/>
  <c r="AH162" i="42"/>
  <c r="AG162" i="42"/>
  <c r="AF162" i="42"/>
  <c r="AE162" i="42"/>
  <c r="AD162" i="42"/>
  <c r="AC162" i="42"/>
  <c r="Q162" i="42"/>
  <c r="J162" i="42"/>
  <c r="I162" i="42"/>
  <c r="H162" i="42"/>
  <c r="G162" i="42"/>
  <c r="F162" i="42"/>
  <c r="E162" i="42"/>
  <c r="AO161" i="42"/>
  <c r="AJ161" i="42"/>
  <c r="AI161" i="42"/>
  <c r="AH161" i="42"/>
  <c r="AG161" i="42"/>
  <c r="AF161" i="42"/>
  <c r="AE161" i="42"/>
  <c r="AD161" i="42"/>
  <c r="AC161" i="42"/>
  <c r="Q161" i="42"/>
  <c r="L161" i="42"/>
  <c r="K161" i="42"/>
  <c r="J161" i="42"/>
  <c r="I161" i="42"/>
  <c r="H161" i="42"/>
  <c r="G161" i="42"/>
  <c r="F161" i="42"/>
  <c r="E161" i="42"/>
  <c r="AO160" i="42"/>
  <c r="AJ160" i="42"/>
  <c r="AI160" i="42"/>
  <c r="AH160" i="42"/>
  <c r="AG160" i="42"/>
  <c r="AF160" i="42"/>
  <c r="AE160" i="42"/>
  <c r="AD160" i="42"/>
  <c r="AC160" i="42"/>
  <c r="Q160" i="42"/>
  <c r="L160" i="42"/>
  <c r="K160" i="42"/>
  <c r="J160" i="42"/>
  <c r="I160" i="42"/>
  <c r="H160" i="42"/>
  <c r="G160" i="42"/>
  <c r="F160" i="42"/>
  <c r="E160" i="42"/>
  <c r="AO159" i="42"/>
  <c r="AJ159" i="42"/>
  <c r="AI159" i="42"/>
  <c r="AH159" i="42"/>
  <c r="AG159" i="42"/>
  <c r="AF159" i="42"/>
  <c r="AE159" i="42"/>
  <c r="AD159" i="42"/>
  <c r="AC159" i="42"/>
  <c r="Q159" i="42"/>
  <c r="L159" i="42"/>
  <c r="K159" i="42"/>
  <c r="J159" i="42"/>
  <c r="I159" i="42"/>
  <c r="H159" i="42"/>
  <c r="G159" i="42"/>
  <c r="F159" i="42"/>
  <c r="E159" i="42"/>
  <c r="AO158" i="42"/>
  <c r="AJ158" i="42"/>
  <c r="AI158" i="42"/>
  <c r="AH158" i="42"/>
  <c r="AG158" i="42"/>
  <c r="AF158" i="42"/>
  <c r="AE158" i="42"/>
  <c r="AD158" i="42"/>
  <c r="AC158" i="42"/>
  <c r="Q158" i="42"/>
  <c r="L158" i="42"/>
  <c r="K158" i="42"/>
  <c r="J158" i="42"/>
  <c r="I158" i="42"/>
  <c r="H158" i="42"/>
  <c r="G158" i="42"/>
  <c r="F158" i="42"/>
  <c r="E158" i="42"/>
  <c r="AO155" i="42"/>
  <c r="AI155" i="42"/>
  <c r="AH155" i="42"/>
  <c r="AG155" i="42"/>
  <c r="AF155" i="42"/>
  <c r="AE155" i="42"/>
  <c r="AD155" i="42"/>
  <c r="AC155" i="42"/>
  <c r="Q155" i="42"/>
  <c r="K155" i="42"/>
  <c r="J155" i="42"/>
  <c r="I155" i="42"/>
  <c r="H155" i="42"/>
  <c r="G155" i="42"/>
  <c r="F155" i="42"/>
  <c r="E155" i="42"/>
  <c r="AO154" i="42"/>
  <c r="AM154" i="42"/>
  <c r="AL154" i="42"/>
  <c r="AK154" i="42"/>
  <c r="AJ154" i="42"/>
  <c r="AI154" i="42"/>
  <c r="AH154" i="42"/>
  <c r="AG154" i="42"/>
  <c r="AF154" i="42"/>
  <c r="AE154" i="42"/>
  <c r="AD154" i="42"/>
  <c r="AC154" i="42"/>
  <c r="Q154" i="42"/>
  <c r="O154" i="42"/>
  <c r="N154" i="42"/>
  <c r="M154" i="42"/>
  <c r="L154" i="42"/>
  <c r="K154" i="42"/>
  <c r="J154" i="42"/>
  <c r="I154" i="42"/>
  <c r="H154" i="42"/>
  <c r="G154" i="42"/>
  <c r="F154" i="42"/>
  <c r="E154" i="42"/>
  <c r="AO153" i="42"/>
  <c r="AM153" i="42"/>
  <c r="AL153" i="42"/>
  <c r="AK153" i="42"/>
  <c r="AJ153" i="42"/>
  <c r="AI153" i="42"/>
  <c r="AH153" i="42"/>
  <c r="AG153" i="42"/>
  <c r="AF153" i="42"/>
  <c r="AE153" i="42"/>
  <c r="AD153" i="42"/>
  <c r="AC153" i="42"/>
  <c r="Q153" i="42"/>
  <c r="O153" i="42"/>
  <c r="N153" i="42"/>
  <c r="M153" i="42"/>
  <c r="L153" i="42"/>
  <c r="K153" i="42"/>
  <c r="J153" i="42"/>
  <c r="I153" i="42"/>
  <c r="H153" i="42"/>
  <c r="G153" i="42"/>
  <c r="F153" i="42"/>
  <c r="E153" i="42"/>
  <c r="AO152" i="42"/>
  <c r="AM152" i="42"/>
  <c r="AL152" i="42"/>
  <c r="AK152" i="42"/>
  <c r="AJ152" i="42"/>
  <c r="AI152" i="42"/>
  <c r="AH152" i="42"/>
  <c r="AG152" i="42"/>
  <c r="AF152" i="42"/>
  <c r="AE152" i="42"/>
  <c r="AD152" i="42"/>
  <c r="AC152" i="42"/>
  <c r="Q152" i="42"/>
  <c r="O152" i="42"/>
  <c r="N152" i="42"/>
  <c r="M152" i="42"/>
  <c r="L152" i="42"/>
  <c r="K152" i="42"/>
  <c r="J152" i="42"/>
  <c r="I152" i="42"/>
  <c r="H152" i="42"/>
  <c r="G152" i="42"/>
  <c r="F152" i="42"/>
  <c r="E152" i="42"/>
  <c r="AO151" i="42"/>
  <c r="AJ151" i="42"/>
  <c r="AI151" i="42"/>
  <c r="AH151" i="42"/>
  <c r="AG151" i="42"/>
  <c r="AF151" i="42"/>
  <c r="AE151" i="42"/>
  <c r="AD151" i="42"/>
  <c r="AC151" i="42"/>
  <c r="Q151" i="42"/>
  <c r="L151" i="42"/>
  <c r="K151" i="42"/>
  <c r="J151" i="42"/>
  <c r="I151" i="42"/>
  <c r="H151" i="42"/>
  <c r="G151" i="42"/>
  <c r="F151" i="42"/>
  <c r="E151" i="42"/>
  <c r="AT121" i="42"/>
  <c r="AS121" i="42"/>
  <c r="AR121" i="42"/>
  <c r="AQ121" i="42"/>
  <c r="AP121" i="42"/>
  <c r="AO121" i="42"/>
  <c r="AH121" i="42"/>
  <c r="AG121" i="42"/>
  <c r="AF121" i="42"/>
  <c r="AE121" i="42"/>
  <c r="AD121" i="42"/>
  <c r="AC121" i="42"/>
  <c r="V121" i="42"/>
  <c r="U121" i="42"/>
  <c r="T121" i="42"/>
  <c r="S121" i="42"/>
  <c r="R121" i="42"/>
  <c r="Q121" i="42"/>
  <c r="J121" i="42"/>
  <c r="I121" i="42"/>
  <c r="H121" i="42"/>
  <c r="G121" i="42"/>
  <c r="F121" i="42"/>
  <c r="E121" i="42"/>
  <c r="AV120" i="42"/>
  <c r="AU120" i="42"/>
  <c r="AT120" i="42"/>
  <c r="AS120" i="42"/>
  <c r="AR120" i="42"/>
  <c r="AQ120" i="42"/>
  <c r="AP120" i="42"/>
  <c r="AO120" i="42"/>
  <c r="AJ120" i="42"/>
  <c r="AI120" i="42"/>
  <c r="AH120" i="42"/>
  <c r="AG120" i="42"/>
  <c r="AF120" i="42"/>
  <c r="AE120" i="42"/>
  <c r="AD120" i="42"/>
  <c r="AC120" i="42"/>
  <c r="X120" i="42"/>
  <c r="W120" i="42"/>
  <c r="V120" i="42"/>
  <c r="U120" i="42"/>
  <c r="T120" i="42"/>
  <c r="R120" i="42"/>
  <c r="Q120" i="42"/>
  <c r="L120" i="42"/>
  <c r="K120" i="42"/>
  <c r="J120" i="42"/>
  <c r="I120" i="42"/>
  <c r="H120" i="42"/>
  <c r="G120" i="42"/>
  <c r="F120" i="42"/>
  <c r="E120" i="42"/>
  <c r="AV119" i="42"/>
  <c r="AU119" i="42"/>
  <c r="AT119" i="42"/>
  <c r="AS119" i="42"/>
  <c r="AR119" i="42"/>
  <c r="AQ119" i="42"/>
  <c r="AP119" i="42"/>
  <c r="AO119" i="42"/>
  <c r="AJ119" i="42"/>
  <c r="AI119" i="42"/>
  <c r="AH119" i="42"/>
  <c r="AG119" i="42"/>
  <c r="AF119" i="42"/>
  <c r="AE119" i="42"/>
  <c r="AD119" i="42"/>
  <c r="AC119" i="42"/>
  <c r="X119" i="42"/>
  <c r="W119" i="42"/>
  <c r="V119" i="42"/>
  <c r="U119" i="42"/>
  <c r="T119" i="42"/>
  <c r="R119" i="42"/>
  <c r="Q119" i="42"/>
  <c r="L119" i="42"/>
  <c r="K119" i="42"/>
  <c r="J119" i="42"/>
  <c r="I119" i="42"/>
  <c r="H119" i="42"/>
  <c r="G119" i="42"/>
  <c r="F119" i="42"/>
  <c r="E119" i="42"/>
  <c r="AV118" i="42"/>
  <c r="AU118" i="42"/>
  <c r="AT118" i="42"/>
  <c r="AS118" i="42"/>
  <c r="AR118" i="42"/>
  <c r="AQ118" i="42"/>
  <c r="AP118" i="42"/>
  <c r="AO118" i="42"/>
  <c r="AJ118" i="42"/>
  <c r="AI118" i="42"/>
  <c r="AH118" i="42"/>
  <c r="AG118" i="42"/>
  <c r="AF118" i="42"/>
  <c r="AE118" i="42"/>
  <c r="AD118" i="42"/>
  <c r="AC118" i="42"/>
  <c r="X118" i="42"/>
  <c r="W118" i="42"/>
  <c r="V118" i="42"/>
  <c r="U118" i="42"/>
  <c r="T118" i="42"/>
  <c r="R118" i="42"/>
  <c r="Q118" i="42"/>
  <c r="L118" i="42"/>
  <c r="K118" i="42"/>
  <c r="J118" i="42"/>
  <c r="I118" i="42"/>
  <c r="H118" i="42"/>
  <c r="G118" i="42"/>
  <c r="F118" i="42"/>
  <c r="E118" i="42"/>
  <c r="AV117" i="42"/>
  <c r="AU117" i="42"/>
  <c r="AT117" i="42"/>
  <c r="AS117" i="42"/>
  <c r="AR117" i="42"/>
  <c r="AQ117" i="42"/>
  <c r="AP117" i="42"/>
  <c r="AO117" i="42"/>
  <c r="AJ117" i="42"/>
  <c r="AI117" i="42"/>
  <c r="AH117" i="42"/>
  <c r="AG117" i="42"/>
  <c r="AF117" i="42"/>
  <c r="AE117" i="42"/>
  <c r="AD117" i="42"/>
  <c r="AC117" i="42"/>
  <c r="X117" i="42"/>
  <c r="W117" i="42"/>
  <c r="V117" i="42"/>
  <c r="U117" i="42"/>
  <c r="T117" i="42"/>
  <c r="R117" i="42"/>
  <c r="Q117" i="42"/>
  <c r="L117" i="42"/>
  <c r="K117" i="42"/>
  <c r="J117" i="42"/>
  <c r="I117" i="42"/>
  <c r="H117" i="42"/>
  <c r="G117" i="42"/>
  <c r="F117" i="42"/>
  <c r="E117" i="42"/>
  <c r="AU115" i="42"/>
  <c r="AT115" i="42"/>
  <c r="AS115" i="42"/>
  <c r="AR115" i="42"/>
  <c r="AP115" i="42"/>
  <c r="AO115" i="42"/>
  <c r="AI115" i="42"/>
  <c r="AH115" i="42"/>
  <c r="AG115" i="42"/>
  <c r="AF115" i="42"/>
  <c r="AE115" i="42"/>
  <c r="AD115" i="42"/>
  <c r="AC115" i="42"/>
  <c r="W115" i="42"/>
  <c r="V115" i="42"/>
  <c r="U115" i="42"/>
  <c r="T115" i="42"/>
  <c r="S115" i="42"/>
  <c r="R115" i="42"/>
  <c r="Q115" i="42"/>
  <c r="K115" i="42"/>
  <c r="J115" i="42"/>
  <c r="I115" i="42"/>
  <c r="H115" i="42"/>
  <c r="G115" i="42"/>
  <c r="F115" i="42"/>
  <c r="E115" i="42"/>
  <c r="AY114" i="42"/>
  <c r="AX114" i="42"/>
  <c r="AW114" i="42"/>
  <c r="AV114" i="42"/>
  <c r="AU114" i="42"/>
  <c r="AT114" i="42"/>
  <c r="AS114" i="42"/>
  <c r="AR114" i="42"/>
  <c r="AP114" i="42"/>
  <c r="AO114" i="42"/>
  <c r="AM114" i="42"/>
  <c r="AL114" i="42"/>
  <c r="AK114" i="42"/>
  <c r="AJ114" i="42"/>
  <c r="AI114" i="42"/>
  <c r="AH114" i="42"/>
  <c r="AG114" i="42"/>
  <c r="AF114" i="42"/>
  <c r="AE114" i="42"/>
  <c r="AD114" i="42"/>
  <c r="AC114" i="42"/>
  <c r="AA114" i="42"/>
  <c r="Z114" i="42"/>
  <c r="Y114" i="42"/>
  <c r="X114" i="42"/>
  <c r="W114" i="42"/>
  <c r="V114" i="42"/>
  <c r="U114" i="42"/>
  <c r="T114" i="42"/>
  <c r="S114" i="42"/>
  <c r="R114" i="42"/>
  <c r="Q114" i="42"/>
  <c r="O114" i="42"/>
  <c r="N114" i="42"/>
  <c r="M114" i="42"/>
  <c r="L114" i="42"/>
  <c r="K114" i="42"/>
  <c r="J114" i="42"/>
  <c r="I114" i="42"/>
  <c r="H114" i="42"/>
  <c r="G114" i="42"/>
  <c r="F114" i="42"/>
  <c r="E114" i="42"/>
  <c r="AY113" i="42"/>
  <c r="AX113" i="42"/>
  <c r="AW113" i="42"/>
  <c r="AV113" i="42"/>
  <c r="AU113" i="42"/>
  <c r="AT113" i="42"/>
  <c r="AS113" i="42"/>
  <c r="AR113" i="42"/>
  <c r="AP113" i="42"/>
  <c r="AO113" i="42"/>
  <c r="AM113" i="42"/>
  <c r="AL113" i="42"/>
  <c r="AK113" i="42"/>
  <c r="AJ113" i="42"/>
  <c r="AI113" i="42"/>
  <c r="AH113" i="42"/>
  <c r="AG113" i="42"/>
  <c r="AF113" i="42"/>
  <c r="AE113" i="42"/>
  <c r="AD113" i="42"/>
  <c r="AC113" i="42"/>
  <c r="AA113" i="42"/>
  <c r="Z113" i="42"/>
  <c r="Y113" i="42"/>
  <c r="X113" i="42"/>
  <c r="W113" i="42"/>
  <c r="V113" i="42"/>
  <c r="U113" i="42"/>
  <c r="T113" i="42"/>
  <c r="S113" i="42"/>
  <c r="R113" i="42"/>
  <c r="Q113" i="42"/>
  <c r="O113" i="42"/>
  <c r="N113" i="42"/>
  <c r="M113" i="42"/>
  <c r="L113" i="42"/>
  <c r="K113" i="42"/>
  <c r="J113" i="42"/>
  <c r="I113" i="42"/>
  <c r="H113" i="42"/>
  <c r="G113" i="42"/>
  <c r="F113" i="42"/>
  <c r="E113" i="42"/>
  <c r="AY112" i="42"/>
  <c r="AX112" i="42"/>
  <c r="AW112" i="42"/>
  <c r="AV112" i="42"/>
  <c r="AU112" i="42"/>
  <c r="AT112" i="42"/>
  <c r="AS112" i="42"/>
  <c r="AR112" i="42"/>
  <c r="AP112" i="42"/>
  <c r="AO112" i="42"/>
  <c r="AM112" i="42"/>
  <c r="AL112" i="42"/>
  <c r="AK112" i="42"/>
  <c r="AJ112" i="42"/>
  <c r="AI112" i="42"/>
  <c r="AH112" i="42"/>
  <c r="AG112" i="42"/>
  <c r="AF112" i="42"/>
  <c r="AE112" i="42"/>
  <c r="AD112" i="42"/>
  <c r="AC112" i="42"/>
  <c r="AA112" i="42"/>
  <c r="Z112" i="42"/>
  <c r="Y112" i="42"/>
  <c r="X112" i="42"/>
  <c r="W112" i="42"/>
  <c r="V112" i="42"/>
  <c r="U112" i="42"/>
  <c r="T112" i="42"/>
  <c r="S112" i="42"/>
  <c r="R112" i="42"/>
  <c r="Q112" i="42"/>
  <c r="O112" i="42"/>
  <c r="N112" i="42"/>
  <c r="M112" i="42"/>
  <c r="L112" i="42"/>
  <c r="K112" i="42"/>
  <c r="J112" i="42"/>
  <c r="I112" i="42"/>
  <c r="H112" i="42"/>
  <c r="G112" i="42"/>
  <c r="F112" i="42"/>
  <c r="E112" i="42"/>
  <c r="AV111" i="42"/>
  <c r="AU111" i="42"/>
  <c r="AT111" i="42"/>
  <c r="AS111" i="42"/>
  <c r="AR111" i="42"/>
  <c r="AQ111" i="42"/>
  <c r="AP111" i="42"/>
  <c r="AO111" i="42"/>
  <c r="AJ111" i="42"/>
  <c r="AI111" i="42"/>
  <c r="AH111" i="42"/>
  <c r="AG111" i="42"/>
  <c r="AF111" i="42"/>
  <c r="AE111" i="42"/>
  <c r="AD111" i="42"/>
  <c r="AC111" i="42"/>
  <c r="X111" i="42"/>
  <c r="W111" i="42"/>
  <c r="V111" i="42"/>
  <c r="U111" i="42"/>
  <c r="T111" i="42"/>
  <c r="R111" i="42"/>
  <c r="Q111" i="42"/>
  <c r="L111" i="42"/>
  <c r="K111" i="42"/>
  <c r="J111" i="42"/>
  <c r="I111" i="42"/>
  <c r="H111" i="42"/>
  <c r="G111" i="42"/>
  <c r="F111" i="42"/>
  <c r="E111" i="42"/>
  <c r="AQ108" i="42"/>
  <c r="AQ115" i="42" s="1"/>
  <c r="S108" i="42"/>
  <c r="S120" i="42" s="1"/>
  <c r="AT99" i="42"/>
  <c r="AS99" i="42"/>
  <c r="AR99" i="42"/>
  <c r="AP99" i="42"/>
  <c r="AO99" i="42"/>
  <c r="AH99" i="42"/>
  <c r="AG99" i="42"/>
  <c r="AF99" i="42"/>
  <c r="AE99" i="42"/>
  <c r="AD99" i="42"/>
  <c r="AC99" i="42"/>
  <c r="V99" i="42"/>
  <c r="U99" i="42"/>
  <c r="T99" i="42"/>
  <c r="R99" i="42"/>
  <c r="Q99" i="42"/>
  <c r="J99" i="42"/>
  <c r="I99" i="42"/>
  <c r="H99" i="42"/>
  <c r="G99" i="42"/>
  <c r="F99" i="42"/>
  <c r="E99" i="42"/>
  <c r="AT98" i="42"/>
  <c r="AS98" i="42"/>
  <c r="AR98" i="42"/>
  <c r="AP98" i="42"/>
  <c r="AO98" i="42"/>
  <c r="AH98" i="42"/>
  <c r="AG98" i="42"/>
  <c r="AF98" i="42"/>
  <c r="AE98" i="42"/>
  <c r="AD98" i="42"/>
  <c r="AC98" i="42"/>
  <c r="V98" i="42"/>
  <c r="U98" i="42"/>
  <c r="T98" i="42"/>
  <c r="R98" i="42"/>
  <c r="Q98" i="42"/>
  <c r="J98" i="42"/>
  <c r="I98" i="42"/>
  <c r="H98" i="42"/>
  <c r="G98" i="42"/>
  <c r="F98" i="42"/>
  <c r="E98" i="42"/>
  <c r="AV97" i="42"/>
  <c r="AU97" i="42"/>
  <c r="AT97" i="42"/>
  <c r="AS97" i="42"/>
  <c r="AR97" i="42"/>
  <c r="AQ97" i="42"/>
  <c r="AP97" i="42"/>
  <c r="AO97" i="42"/>
  <c r="AJ97" i="42"/>
  <c r="AI97" i="42"/>
  <c r="AH97" i="42"/>
  <c r="AG97" i="42"/>
  <c r="AF97" i="42"/>
  <c r="AE97" i="42"/>
  <c r="AD97" i="42"/>
  <c r="AC97" i="42"/>
  <c r="X97" i="42"/>
  <c r="W97" i="42"/>
  <c r="V97" i="42"/>
  <c r="U97" i="42"/>
  <c r="T97" i="42"/>
  <c r="R97" i="42"/>
  <c r="Q97" i="42"/>
  <c r="L97" i="42"/>
  <c r="K97" i="42"/>
  <c r="J97" i="42"/>
  <c r="I97" i="42"/>
  <c r="H97" i="42"/>
  <c r="G97" i="42"/>
  <c r="F97" i="42"/>
  <c r="E97" i="42"/>
  <c r="AV96" i="42"/>
  <c r="AU96" i="42"/>
  <c r="AT96" i="42"/>
  <c r="AS96" i="42"/>
  <c r="AR96" i="42"/>
  <c r="AQ96" i="42"/>
  <c r="AP96" i="42"/>
  <c r="AO96" i="42"/>
  <c r="AJ96" i="42"/>
  <c r="AI96" i="42"/>
  <c r="AH96" i="42"/>
  <c r="AG96" i="42"/>
  <c r="AF96" i="42"/>
  <c r="AE96" i="42"/>
  <c r="AD96" i="42"/>
  <c r="AC96" i="42"/>
  <c r="X96" i="42"/>
  <c r="W96" i="42"/>
  <c r="V96" i="42"/>
  <c r="U96" i="42"/>
  <c r="T96" i="42"/>
  <c r="R96" i="42"/>
  <c r="Q96" i="42"/>
  <c r="L96" i="42"/>
  <c r="K96" i="42"/>
  <c r="J96" i="42"/>
  <c r="I96" i="42"/>
  <c r="H96" i="42"/>
  <c r="G96" i="42"/>
  <c r="F96" i="42"/>
  <c r="E96" i="42"/>
  <c r="AV95" i="42"/>
  <c r="AU95" i="42"/>
  <c r="AT95" i="42"/>
  <c r="AS95" i="42"/>
  <c r="AR95" i="42"/>
  <c r="AQ95" i="42"/>
  <c r="AP95" i="42"/>
  <c r="AO95" i="42"/>
  <c r="AJ95" i="42"/>
  <c r="AI95" i="42"/>
  <c r="AH95" i="42"/>
  <c r="AG95" i="42"/>
  <c r="AF95" i="42"/>
  <c r="AE95" i="42"/>
  <c r="AD95" i="42"/>
  <c r="AC95" i="42"/>
  <c r="X95" i="42"/>
  <c r="W95" i="42"/>
  <c r="V95" i="42"/>
  <c r="U95" i="42"/>
  <c r="T95" i="42"/>
  <c r="R95" i="42"/>
  <c r="Q95" i="42"/>
  <c r="L95" i="42"/>
  <c r="K95" i="42"/>
  <c r="J95" i="42"/>
  <c r="I95" i="42"/>
  <c r="H95" i="42"/>
  <c r="G95" i="42"/>
  <c r="F95" i="42"/>
  <c r="E95" i="42"/>
  <c r="AV94" i="42"/>
  <c r="AU94" i="42"/>
  <c r="AT94" i="42"/>
  <c r="AS94" i="42"/>
  <c r="AR94" i="42"/>
  <c r="AQ94" i="42"/>
  <c r="AP94" i="42"/>
  <c r="AO94" i="42"/>
  <c r="AJ94" i="42"/>
  <c r="AI94" i="42"/>
  <c r="AH94" i="42"/>
  <c r="AG94" i="42"/>
  <c r="AF94" i="42"/>
  <c r="AE94" i="42"/>
  <c r="AD94" i="42"/>
  <c r="AC94" i="42"/>
  <c r="X94" i="42"/>
  <c r="W94" i="42"/>
  <c r="V94" i="42"/>
  <c r="U94" i="42"/>
  <c r="T94" i="42"/>
  <c r="R94" i="42"/>
  <c r="Q94" i="42"/>
  <c r="L94" i="42"/>
  <c r="K94" i="42"/>
  <c r="J94" i="42"/>
  <c r="I94" i="42"/>
  <c r="H94" i="42"/>
  <c r="G94" i="42"/>
  <c r="F94" i="42"/>
  <c r="E94" i="42"/>
  <c r="AU92" i="42"/>
  <c r="AT92" i="42"/>
  <c r="AS92" i="42"/>
  <c r="AR92" i="42"/>
  <c r="AP92" i="42"/>
  <c r="AO92" i="42"/>
  <c r="AI92" i="42"/>
  <c r="AH92" i="42"/>
  <c r="AG92" i="42"/>
  <c r="AF92" i="42"/>
  <c r="AE92" i="42"/>
  <c r="AD92" i="42"/>
  <c r="AC92" i="42"/>
  <c r="W92" i="42"/>
  <c r="V92" i="42"/>
  <c r="U92" i="42"/>
  <c r="T92" i="42"/>
  <c r="R92" i="42"/>
  <c r="Q92" i="42"/>
  <c r="K92" i="42"/>
  <c r="J92" i="42"/>
  <c r="I92" i="42"/>
  <c r="H92" i="42"/>
  <c r="G92" i="42"/>
  <c r="F92" i="42"/>
  <c r="E92" i="42"/>
  <c r="AU91" i="42"/>
  <c r="AT91" i="42"/>
  <c r="AS91" i="42"/>
  <c r="AR91" i="42"/>
  <c r="AP91" i="42"/>
  <c r="AO91" i="42"/>
  <c r="AI91" i="42"/>
  <c r="AH91" i="42"/>
  <c r="AG91" i="42"/>
  <c r="AF91" i="42"/>
  <c r="AE91" i="42"/>
  <c r="AD91" i="42"/>
  <c r="AC91" i="42"/>
  <c r="W91" i="42"/>
  <c r="V91" i="42"/>
  <c r="U91" i="42"/>
  <c r="T91" i="42"/>
  <c r="R91" i="42"/>
  <c r="Q91" i="42"/>
  <c r="K91" i="42"/>
  <c r="J91" i="42"/>
  <c r="I91" i="42"/>
  <c r="H91" i="42"/>
  <c r="G91" i="42"/>
  <c r="F91" i="42"/>
  <c r="E91" i="42"/>
  <c r="AY90" i="42"/>
  <c r="AX90" i="42"/>
  <c r="AW90" i="42"/>
  <c r="AV90" i="42"/>
  <c r="AU90" i="42"/>
  <c r="AT90" i="42"/>
  <c r="AS90" i="42"/>
  <c r="AR90" i="42"/>
  <c r="AP90" i="42"/>
  <c r="AO90" i="42"/>
  <c r="AM90" i="42"/>
  <c r="AL90" i="42"/>
  <c r="AK90" i="42"/>
  <c r="AJ90" i="42"/>
  <c r="AI90" i="42"/>
  <c r="AH90" i="42"/>
  <c r="AG90" i="42"/>
  <c r="AF90" i="42"/>
  <c r="AE90" i="42"/>
  <c r="AD90" i="42"/>
  <c r="AC90" i="42"/>
  <c r="AA90" i="42"/>
  <c r="Z90" i="42"/>
  <c r="Y90" i="42"/>
  <c r="X90" i="42"/>
  <c r="W90" i="42"/>
  <c r="V90" i="42"/>
  <c r="U90" i="42"/>
  <c r="T90" i="42"/>
  <c r="R90" i="42"/>
  <c r="Q90" i="42"/>
  <c r="O90" i="42"/>
  <c r="N90" i="42"/>
  <c r="M90" i="42"/>
  <c r="L90" i="42"/>
  <c r="K90" i="42"/>
  <c r="J90" i="42"/>
  <c r="I90" i="42"/>
  <c r="H90" i="42"/>
  <c r="G90" i="42"/>
  <c r="F90" i="42"/>
  <c r="E90" i="42"/>
  <c r="AY89" i="42"/>
  <c r="AX89" i="42"/>
  <c r="AW89" i="42"/>
  <c r="AV89" i="42"/>
  <c r="AU89" i="42"/>
  <c r="AT89" i="42"/>
  <c r="AS89" i="42"/>
  <c r="AR89" i="42"/>
  <c r="AP89" i="42"/>
  <c r="AO89" i="42"/>
  <c r="AM89" i="42"/>
  <c r="AL89" i="42"/>
  <c r="AK89" i="42"/>
  <c r="AJ89" i="42"/>
  <c r="AI89" i="42"/>
  <c r="AH89" i="42"/>
  <c r="AG89" i="42"/>
  <c r="AF89" i="42"/>
  <c r="AE89" i="42"/>
  <c r="AD89" i="42"/>
  <c r="AC89" i="42"/>
  <c r="AA89" i="42"/>
  <c r="Z89" i="42"/>
  <c r="Y89" i="42"/>
  <c r="X89" i="42"/>
  <c r="W89" i="42"/>
  <c r="V89" i="42"/>
  <c r="U89" i="42"/>
  <c r="T89" i="42"/>
  <c r="R89" i="42"/>
  <c r="Q89" i="42"/>
  <c r="O89" i="42"/>
  <c r="N89" i="42"/>
  <c r="M89" i="42"/>
  <c r="L89" i="42"/>
  <c r="K89" i="42"/>
  <c r="J89" i="42"/>
  <c r="I89" i="42"/>
  <c r="H89" i="42"/>
  <c r="G89" i="42"/>
  <c r="F89" i="42"/>
  <c r="E89" i="42"/>
  <c r="AY88" i="42"/>
  <c r="AX88" i="42"/>
  <c r="AW88" i="42"/>
  <c r="AV88" i="42"/>
  <c r="AU88" i="42"/>
  <c r="AT88" i="42"/>
  <c r="AS88" i="42"/>
  <c r="AR88" i="42"/>
  <c r="AP88" i="42"/>
  <c r="AO88" i="42"/>
  <c r="AM88" i="42"/>
  <c r="AL88" i="42"/>
  <c r="AK88" i="42"/>
  <c r="AJ88" i="42"/>
  <c r="AI88" i="42"/>
  <c r="AH88" i="42"/>
  <c r="AG88" i="42"/>
  <c r="AF88" i="42"/>
  <c r="AE88" i="42"/>
  <c r="AD88" i="42"/>
  <c r="AC88" i="42"/>
  <c r="AA88" i="42"/>
  <c r="Z88" i="42"/>
  <c r="Y88" i="42"/>
  <c r="X88" i="42"/>
  <c r="W88" i="42"/>
  <c r="V88" i="42"/>
  <c r="U88" i="42"/>
  <c r="T88" i="42"/>
  <c r="R88" i="42"/>
  <c r="Q88" i="42"/>
  <c r="O88" i="42"/>
  <c r="N88" i="42"/>
  <c r="M88" i="42"/>
  <c r="L88" i="42"/>
  <c r="K88" i="42"/>
  <c r="J88" i="42"/>
  <c r="I88" i="42"/>
  <c r="H88" i="42"/>
  <c r="G88" i="42"/>
  <c r="F88" i="42"/>
  <c r="E88" i="42"/>
  <c r="AV87" i="42"/>
  <c r="AU87" i="42"/>
  <c r="AT87" i="42"/>
  <c r="AS87" i="42"/>
  <c r="AR87" i="42"/>
  <c r="AQ87" i="42"/>
  <c r="AP87" i="42"/>
  <c r="AO87" i="42"/>
  <c r="AJ87" i="42"/>
  <c r="AI87" i="42"/>
  <c r="AH87" i="42"/>
  <c r="AG87" i="42"/>
  <c r="AF87" i="42"/>
  <c r="AE87" i="42"/>
  <c r="AD87" i="42"/>
  <c r="AC87" i="42"/>
  <c r="X87" i="42"/>
  <c r="W87" i="42"/>
  <c r="V87" i="42"/>
  <c r="U87" i="42"/>
  <c r="T87" i="42"/>
  <c r="R87" i="42"/>
  <c r="Q87" i="42"/>
  <c r="L87" i="42"/>
  <c r="K87" i="42"/>
  <c r="J87" i="42"/>
  <c r="I87" i="42"/>
  <c r="H87" i="42"/>
  <c r="G87" i="42"/>
  <c r="F87" i="42"/>
  <c r="E87" i="42"/>
  <c r="AQ85" i="42"/>
  <c r="AQ99" i="42" s="1"/>
  <c r="S85" i="42"/>
  <c r="S92" i="42" s="1"/>
  <c r="AQ84" i="42"/>
  <c r="S84" i="42"/>
  <c r="S91" i="42" s="1"/>
  <c r="AT72" i="42"/>
  <c r="AS72" i="42"/>
  <c r="AR72" i="42"/>
  <c r="AQ72" i="42"/>
  <c r="AP72" i="42"/>
  <c r="AO72" i="42"/>
  <c r="AH72" i="42"/>
  <c r="AG72" i="42"/>
  <c r="AF72" i="42"/>
  <c r="AE72" i="42"/>
  <c r="AD72" i="42"/>
  <c r="AC72" i="42"/>
  <c r="V72" i="42"/>
  <c r="U72" i="42"/>
  <c r="T72" i="42"/>
  <c r="R72" i="42"/>
  <c r="Q72" i="42"/>
  <c r="J72" i="42"/>
  <c r="I72" i="42"/>
  <c r="H72" i="42"/>
  <c r="G72" i="42"/>
  <c r="F72" i="42"/>
  <c r="E72" i="42"/>
  <c r="AV71" i="42"/>
  <c r="AU71" i="42"/>
  <c r="AT71" i="42"/>
  <c r="AS71" i="42"/>
  <c r="AR71" i="42"/>
  <c r="AQ71" i="42"/>
  <c r="AP71" i="42"/>
  <c r="AO71" i="42"/>
  <c r="AJ71" i="42"/>
  <c r="AI71" i="42"/>
  <c r="AH71" i="42"/>
  <c r="AG71" i="42"/>
  <c r="AF71" i="42"/>
  <c r="AE71" i="42"/>
  <c r="AD71" i="42"/>
  <c r="AC71" i="42"/>
  <c r="X71" i="42"/>
  <c r="W71" i="42"/>
  <c r="V71" i="42"/>
  <c r="U71" i="42"/>
  <c r="T71" i="42"/>
  <c r="S71" i="42"/>
  <c r="R71" i="42"/>
  <c r="Q71" i="42"/>
  <c r="L71" i="42"/>
  <c r="K71" i="42"/>
  <c r="J71" i="42"/>
  <c r="I71" i="42"/>
  <c r="H71" i="42"/>
  <c r="G71" i="42"/>
  <c r="F71" i="42"/>
  <c r="E71" i="42"/>
  <c r="AV70" i="42"/>
  <c r="AU70" i="42"/>
  <c r="AT70" i="42"/>
  <c r="AS70" i="42"/>
  <c r="AR70" i="42"/>
  <c r="AQ70" i="42"/>
  <c r="AP70" i="42"/>
  <c r="AO70" i="42"/>
  <c r="AJ70" i="42"/>
  <c r="AI70" i="42"/>
  <c r="AH70" i="42"/>
  <c r="AG70" i="42"/>
  <c r="AF70" i="42"/>
  <c r="AE70" i="42"/>
  <c r="AD70" i="42"/>
  <c r="AC70" i="42"/>
  <c r="X70" i="42"/>
  <c r="W70" i="42"/>
  <c r="V70" i="42"/>
  <c r="U70" i="42"/>
  <c r="T70" i="42"/>
  <c r="S70" i="42"/>
  <c r="R70" i="42"/>
  <c r="Q70" i="42"/>
  <c r="L70" i="42"/>
  <c r="K70" i="42"/>
  <c r="J70" i="42"/>
  <c r="I70" i="42"/>
  <c r="H70" i="42"/>
  <c r="G70" i="42"/>
  <c r="F70" i="42"/>
  <c r="E70" i="42"/>
  <c r="AV69" i="42"/>
  <c r="AU69" i="42"/>
  <c r="AT69" i="42"/>
  <c r="AS69" i="42"/>
  <c r="AR69" i="42"/>
  <c r="AQ69" i="42"/>
  <c r="AP69" i="42"/>
  <c r="AO69" i="42"/>
  <c r="AJ69" i="42"/>
  <c r="AI69" i="42"/>
  <c r="AH69" i="42"/>
  <c r="AG69" i="42"/>
  <c r="AF69" i="42"/>
  <c r="AE69" i="42"/>
  <c r="AD69" i="42"/>
  <c r="AC69" i="42"/>
  <c r="X69" i="42"/>
  <c r="W69" i="42"/>
  <c r="V69" i="42"/>
  <c r="U69" i="42"/>
  <c r="T69" i="42"/>
  <c r="S69" i="42"/>
  <c r="R69" i="42"/>
  <c r="Q69" i="42"/>
  <c r="L69" i="42"/>
  <c r="K69" i="42"/>
  <c r="J69" i="42"/>
  <c r="I69" i="42"/>
  <c r="H69" i="42"/>
  <c r="G69" i="42"/>
  <c r="F69" i="42"/>
  <c r="E69" i="42"/>
  <c r="AV68" i="42"/>
  <c r="AU68" i="42"/>
  <c r="AT68" i="42"/>
  <c r="AS68" i="42"/>
  <c r="AR68" i="42"/>
  <c r="AQ68" i="42"/>
  <c r="AP68" i="42"/>
  <c r="AO68" i="42"/>
  <c r="AJ68" i="42"/>
  <c r="AI68" i="42"/>
  <c r="AH68" i="42"/>
  <c r="AG68" i="42"/>
  <c r="AF68" i="42"/>
  <c r="AE68" i="42"/>
  <c r="AD68" i="42"/>
  <c r="AC68" i="42"/>
  <c r="X68" i="42"/>
  <c r="W68" i="42"/>
  <c r="V68" i="42"/>
  <c r="U68" i="42"/>
  <c r="T68" i="42"/>
  <c r="S68" i="42"/>
  <c r="R68" i="42"/>
  <c r="Q68" i="42"/>
  <c r="L68" i="42"/>
  <c r="K68" i="42"/>
  <c r="J68" i="42"/>
  <c r="I68" i="42"/>
  <c r="H68" i="42"/>
  <c r="G68" i="42"/>
  <c r="F68" i="42"/>
  <c r="E68" i="42"/>
  <c r="AU66" i="42"/>
  <c r="AT66" i="42"/>
  <c r="AS66" i="42"/>
  <c r="AR66" i="42"/>
  <c r="AQ66" i="42"/>
  <c r="AP66" i="42"/>
  <c r="AO66" i="42"/>
  <c r="AI66" i="42"/>
  <c r="AH66" i="42"/>
  <c r="AG66" i="42"/>
  <c r="AF66" i="42"/>
  <c r="AE66" i="42"/>
  <c r="AD66" i="42"/>
  <c r="AC66" i="42"/>
  <c r="W66" i="42"/>
  <c r="V66" i="42"/>
  <c r="U66" i="42"/>
  <c r="T66" i="42"/>
  <c r="R66" i="42"/>
  <c r="Q66" i="42"/>
  <c r="K66" i="42"/>
  <c r="J66" i="42"/>
  <c r="I66" i="42"/>
  <c r="H66" i="42"/>
  <c r="G66" i="42"/>
  <c r="F66" i="42"/>
  <c r="E66" i="42"/>
  <c r="AY65" i="42"/>
  <c r="AX65" i="42"/>
  <c r="AW65" i="42"/>
  <c r="AV65" i="42"/>
  <c r="AU65" i="42"/>
  <c r="AT65" i="42"/>
  <c r="AS65" i="42"/>
  <c r="AR65" i="42"/>
  <c r="AQ65" i="42"/>
  <c r="AP65" i="42"/>
  <c r="AO65" i="42"/>
  <c r="AM65" i="42"/>
  <c r="AL65" i="42"/>
  <c r="AK65" i="42"/>
  <c r="AJ65" i="42"/>
  <c r="AI65" i="42"/>
  <c r="AH65" i="42"/>
  <c r="AG65" i="42"/>
  <c r="AF65" i="42"/>
  <c r="AE65" i="42"/>
  <c r="AD65" i="42"/>
  <c r="AC65" i="42"/>
  <c r="AA65" i="42"/>
  <c r="Z65" i="42"/>
  <c r="Y65" i="42"/>
  <c r="X65" i="42"/>
  <c r="W65" i="42"/>
  <c r="V65" i="42"/>
  <c r="U65" i="42"/>
  <c r="T65" i="42"/>
  <c r="R65" i="42"/>
  <c r="Q65" i="42"/>
  <c r="O65" i="42"/>
  <c r="N65" i="42"/>
  <c r="M65" i="42"/>
  <c r="L65" i="42"/>
  <c r="K65" i="42"/>
  <c r="J65" i="42"/>
  <c r="I65" i="42"/>
  <c r="H65" i="42"/>
  <c r="G65" i="42"/>
  <c r="F65" i="42"/>
  <c r="E65" i="42"/>
  <c r="AY64" i="42"/>
  <c r="AX64" i="42"/>
  <c r="AW64" i="42"/>
  <c r="AV64" i="42"/>
  <c r="AU64" i="42"/>
  <c r="AT64" i="42"/>
  <c r="AS64" i="42"/>
  <c r="AR64" i="42"/>
  <c r="AQ64" i="42"/>
  <c r="AP64" i="42"/>
  <c r="AO64" i="42"/>
  <c r="AM64" i="42"/>
  <c r="AL64" i="42"/>
  <c r="AK64" i="42"/>
  <c r="AJ64" i="42"/>
  <c r="AI64" i="42"/>
  <c r="AH64" i="42"/>
  <c r="AG64" i="42"/>
  <c r="AF64" i="42"/>
  <c r="AE64" i="42"/>
  <c r="AD64" i="42"/>
  <c r="AC64" i="42"/>
  <c r="AA64" i="42"/>
  <c r="Z64" i="42"/>
  <c r="Y64" i="42"/>
  <c r="X64" i="42"/>
  <c r="W64" i="42"/>
  <c r="V64" i="42"/>
  <c r="U64" i="42"/>
  <c r="T64" i="42"/>
  <c r="R64" i="42"/>
  <c r="Q64" i="42"/>
  <c r="O64" i="42"/>
  <c r="N64" i="42"/>
  <c r="M64" i="42"/>
  <c r="L64" i="42"/>
  <c r="K64" i="42"/>
  <c r="J64" i="42"/>
  <c r="I64" i="42"/>
  <c r="H64" i="42"/>
  <c r="G64" i="42"/>
  <c r="F64" i="42"/>
  <c r="E64" i="42"/>
  <c r="AY63" i="42"/>
  <c r="AX63" i="42"/>
  <c r="AW63" i="42"/>
  <c r="AV63" i="42"/>
  <c r="AU63" i="42"/>
  <c r="AT63" i="42"/>
  <c r="AS63" i="42"/>
  <c r="AR63" i="42"/>
  <c r="AQ63" i="42"/>
  <c r="AP63" i="42"/>
  <c r="AO63" i="42"/>
  <c r="AM63" i="42"/>
  <c r="AL63" i="42"/>
  <c r="AK63" i="42"/>
  <c r="AJ63" i="42"/>
  <c r="AI63" i="42"/>
  <c r="AH63" i="42"/>
  <c r="AG63" i="42"/>
  <c r="AF63" i="42"/>
  <c r="AE63" i="42"/>
  <c r="AD63" i="42"/>
  <c r="AC63" i="42"/>
  <c r="AA63" i="42"/>
  <c r="Z63" i="42"/>
  <c r="Y63" i="42"/>
  <c r="X63" i="42"/>
  <c r="W63" i="42"/>
  <c r="V63" i="42"/>
  <c r="U63" i="42"/>
  <c r="T63" i="42"/>
  <c r="R63" i="42"/>
  <c r="Q63" i="42"/>
  <c r="O63" i="42"/>
  <c r="N63" i="42"/>
  <c r="M63" i="42"/>
  <c r="L63" i="42"/>
  <c r="K63" i="42"/>
  <c r="J63" i="42"/>
  <c r="I63" i="42"/>
  <c r="H63" i="42"/>
  <c r="G63" i="42"/>
  <c r="F63" i="42"/>
  <c r="E63" i="42"/>
  <c r="AV62" i="42"/>
  <c r="AU62" i="42"/>
  <c r="AT62" i="42"/>
  <c r="AS62" i="42"/>
  <c r="AR62" i="42"/>
  <c r="AQ62" i="42"/>
  <c r="AP62" i="42"/>
  <c r="AO62" i="42"/>
  <c r="AJ62" i="42"/>
  <c r="AI62" i="42"/>
  <c r="AH62" i="42"/>
  <c r="AG62" i="42"/>
  <c r="AF62" i="42"/>
  <c r="AE62" i="42"/>
  <c r="AD62" i="42"/>
  <c r="AC62" i="42"/>
  <c r="X62" i="42"/>
  <c r="W62" i="42"/>
  <c r="V62" i="42"/>
  <c r="U62" i="42"/>
  <c r="T62" i="42"/>
  <c r="S62" i="42"/>
  <c r="R62" i="42"/>
  <c r="Q62" i="42"/>
  <c r="L62" i="42"/>
  <c r="K62" i="42"/>
  <c r="J62" i="42"/>
  <c r="I62" i="42"/>
  <c r="H62" i="42"/>
  <c r="G62" i="42"/>
  <c r="F62" i="42"/>
  <c r="E62" i="42"/>
  <c r="S59" i="42"/>
  <c r="S66" i="42" s="1"/>
  <c r="P46" i="42"/>
  <c r="AT41" i="42"/>
  <c r="AS41" i="42"/>
  <c r="AR41" i="42"/>
  <c r="AQ41" i="42"/>
  <c r="AP41" i="42"/>
  <c r="AO41" i="42"/>
  <c r="AH41" i="42"/>
  <c r="AG41" i="42"/>
  <c r="AF41" i="42"/>
  <c r="AE41" i="42"/>
  <c r="AD41" i="42"/>
  <c r="AC41" i="42"/>
  <c r="V41" i="42"/>
  <c r="U41" i="42"/>
  <c r="T41" i="42"/>
  <c r="S41" i="42"/>
  <c r="R41" i="42"/>
  <c r="Q41" i="42"/>
  <c r="J41" i="42"/>
  <c r="I41" i="42"/>
  <c r="H41" i="42"/>
  <c r="G41" i="42"/>
  <c r="F41" i="42"/>
  <c r="E41" i="42"/>
  <c r="AV40" i="42"/>
  <c r="AU40" i="42"/>
  <c r="AT40" i="42"/>
  <c r="AS40" i="42"/>
  <c r="AR40" i="42"/>
  <c r="AQ40" i="42"/>
  <c r="AP40" i="42"/>
  <c r="AO40" i="42"/>
  <c r="AJ40" i="42"/>
  <c r="AI40" i="42"/>
  <c r="AH40" i="42"/>
  <c r="AG40" i="42"/>
  <c r="AF40" i="42"/>
  <c r="AE40" i="42"/>
  <c r="AD40" i="42"/>
  <c r="AC40" i="42"/>
  <c r="X40" i="42"/>
  <c r="W40" i="42"/>
  <c r="V40" i="42"/>
  <c r="U40" i="42"/>
  <c r="T40" i="42"/>
  <c r="S40" i="42"/>
  <c r="R40" i="42"/>
  <c r="Q40" i="42"/>
  <c r="L40" i="42"/>
  <c r="K40" i="42"/>
  <c r="J40" i="42"/>
  <c r="I40" i="42"/>
  <c r="H40" i="42"/>
  <c r="G40" i="42"/>
  <c r="F40" i="42"/>
  <c r="E40" i="42"/>
  <c r="AV39" i="42"/>
  <c r="AU39" i="42"/>
  <c r="AT39" i="42"/>
  <c r="AS39" i="42"/>
  <c r="AR39" i="42"/>
  <c r="AQ39" i="42"/>
  <c r="AP39" i="42"/>
  <c r="AO39" i="42"/>
  <c r="AJ39" i="42"/>
  <c r="AI39" i="42"/>
  <c r="AH39" i="42"/>
  <c r="AG39" i="42"/>
  <c r="AF39" i="42"/>
  <c r="AE39" i="42"/>
  <c r="AD39" i="42"/>
  <c r="AC39" i="42"/>
  <c r="X39" i="42"/>
  <c r="W39" i="42"/>
  <c r="V39" i="42"/>
  <c r="U39" i="42"/>
  <c r="T39" i="42"/>
  <c r="S39" i="42"/>
  <c r="R39" i="42"/>
  <c r="Q39" i="42"/>
  <c r="L39" i="42"/>
  <c r="K39" i="42"/>
  <c r="J39" i="42"/>
  <c r="I39" i="42"/>
  <c r="H39" i="42"/>
  <c r="G39" i="42"/>
  <c r="F39" i="42"/>
  <c r="E39" i="42"/>
  <c r="AV38" i="42"/>
  <c r="AU38" i="42"/>
  <c r="AT38" i="42"/>
  <c r="AS38" i="42"/>
  <c r="AR38" i="42"/>
  <c r="AQ38" i="42"/>
  <c r="AP38" i="42"/>
  <c r="AO38" i="42"/>
  <c r="AJ38" i="42"/>
  <c r="AI38" i="42"/>
  <c r="AH38" i="42"/>
  <c r="AG38" i="42"/>
  <c r="AF38" i="42"/>
  <c r="AE38" i="42"/>
  <c r="AD38" i="42"/>
  <c r="AC38" i="42"/>
  <c r="X38" i="42"/>
  <c r="W38" i="42"/>
  <c r="V38" i="42"/>
  <c r="U38" i="42"/>
  <c r="T38" i="42"/>
  <c r="S38" i="42"/>
  <c r="R38" i="42"/>
  <c r="Q38" i="42"/>
  <c r="L38" i="42"/>
  <c r="K38" i="42"/>
  <c r="J38" i="42"/>
  <c r="I38" i="42"/>
  <c r="H38" i="42"/>
  <c r="G38" i="42"/>
  <c r="F38" i="42"/>
  <c r="E38" i="42"/>
  <c r="AV37" i="42"/>
  <c r="AU37" i="42"/>
  <c r="AT37" i="42"/>
  <c r="AS37" i="42"/>
  <c r="AR37" i="42"/>
  <c r="AQ37" i="42"/>
  <c r="AP37" i="42"/>
  <c r="AO37" i="42"/>
  <c r="AJ37" i="42"/>
  <c r="AI37" i="42"/>
  <c r="AH37" i="42"/>
  <c r="AG37" i="42"/>
  <c r="AF37" i="42"/>
  <c r="AE37" i="42"/>
  <c r="AD37" i="42"/>
  <c r="AC37" i="42"/>
  <c r="X37" i="42"/>
  <c r="W37" i="42"/>
  <c r="V37" i="42"/>
  <c r="U37" i="42"/>
  <c r="T37" i="42"/>
  <c r="S37" i="42"/>
  <c r="R37" i="42"/>
  <c r="Q37" i="42"/>
  <c r="L37" i="42"/>
  <c r="K37" i="42"/>
  <c r="J37" i="42"/>
  <c r="I37" i="42"/>
  <c r="H37" i="42"/>
  <c r="G37" i="42"/>
  <c r="F37" i="42"/>
  <c r="E37" i="42"/>
  <c r="AU35" i="42"/>
  <c r="AT35" i="42"/>
  <c r="AS35" i="42"/>
  <c r="AR35" i="42"/>
  <c r="AQ35" i="42"/>
  <c r="AP35" i="42"/>
  <c r="AO35" i="42"/>
  <c r="AI35" i="42"/>
  <c r="AH35" i="42"/>
  <c r="AG35" i="42"/>
  <c r="AF35" i="42"/>
  <c r="AE35" i="42"/>
  <c r="AD35" i="42"/>
  <c r="AC35" i="42"/>
  <c r="W35" i="42"/>
  <c r="V35" i="42"/>
  <c r="U35" i="42"/>
  <c r="T35" i="42"/>
  <c r="S35" i="42"/>
  <c r="R35" i="42"/>
  <c r="Q35" i="42"/>
  <c r="L35" i="42"/>
  <c r="K35" i="42"/>
  <c r="J35" i="42"/>
  <c r="I35" i="42"/>
  <c r="H35" i="42"/>
  <c r="G35" i="42"/>
  <c r="F35" i="42"/>
  <c r="E35" i="42"/>
  <c r="AY34" i="42"/>
  <c r="AX34" i="42"/>
  <c r="AW34" i="42"/>
  <c r="AV34" i="42"/>
  <c r="AU34" i="42"/>
  <c r="AT34" i="42"/>
  <c r="AS34" i="42"/>
  <c r="AR34" i="42"/>
  <c r="AQ34" i="42"/>
  <c r="AP34" i="42"/>
  <c r="AO34" i="42"/>
  <c r="AM34" i="42"/>
  <c r="AL34" i="42"/>
  <c r="AK34" i="42"/>
  <c r="AJ34" i="42"/>
  <c r="AI34" i="42"/>
  <c r="AH34" i="42"/>
  <c r="AG34" i="42"/>
  <c r="AF34" i="42"/>
  <c r="AE34" i="42"/>
  <c r="AD34" i="42"/>
  <c r="AC34" i="42"/>
  <c r="AA34" i="42"/>
  <c r="Z34" i="42"/>
  <c r="Y34" i="42"/>
  <c r="X34" i="42"/>
  <c r="W34" i="42"/>
  <c r="V34" i="42"/>
  <c r="U34" i="42"/>
  <c r="T34" i="42"/>
  <c r="S34" i="42"/>
  <c r="R34" i="42"/>
  <c r="Q34" i="42"/>
  <c r="O34" i="42"/>
  <c r="M34" i="42"/>
  <c r="L34" i="42"/>
  <c r="K34" i="42"/>
  <c r="J34" i="42"/>
  <c r="I34" i="42"/>
  <c r="H34" i="42"/>
  <c r="G34" i="42"/>
  <c r="F34" i="42"/>
  <c r="E34" i="42"/>
  <c r="AY33" i="42"/>
  <c r="AX33" i="42"/>
  <c r="AW33" i="42"/>
  <c r="AV33" i="42"/>
  <c r="AU33" i="42"/>
  <c r="AT33" i="42"/>
  <c r="AS33" i="42"/>
  <c r="AR33" i="42"/>
  <c r="AQ33" i="42"/>
  <c r="AP33" i="42"/>
  <c r="AO33" i="42"/>
  <c r="AM33" i="42"/>
  <c r="AL33" i="42"/>
  <c r="AK33" i="42"/>
  <c r="AJ33" i="42"/>
  <c r="AI33" i="42"/>
  <c r="AH33" i="42"/>
  <c r="AG33" i="42"/>
  <c r="AF33" i="42"/>
  <c r="AE33" i="42"/>
  <c r="AD33" i="42"/>
  <c r="AC33" i="42"/>
  <c r="AA33" i="42"/>
  <c r="Z33" i="42"/>
  <c r="Y33" i="42"/>
  <c r="X33" i="42"/>
  <c r="W33" i="42"/>
  <c r="V33" i="42"/>
  <c r="U33" i="42"/>
  <c r="T33" i="42"/>
  <c r="S33" i="42"/>
  <c r="R33" i="42"/>
  <c r="Q33" i="42"/>
  <c r="O33" i="42"/>
  <c r="N33" i="42"/>
  <c r="M33" i="42"/>
  <c r="L33" i="42"/>
  <c r="K33" i="42"/>
  <c r="J33" i="42"/>
  <c r="I33" i="42"/>
  <c r="H33" i="42"/>
  <c r="G33" i="42"/>
  <c r="F33" i="42"/>
  <c r="E33" i="42"/>
  <c r="AY32" i="42"/>
  <c r="AX32" i="42"/>
  <c r="AW32" i="42"/>
  <c r="AV32" i="42"/>
  <c r="AU32" i="42"/>
  <c r="AT32" i="42"/>
  <c r="AS32" i="42"/>
  <c r="AR32" i="42"/>
  <c r="AQ32" i="42"/>
  <c r="AP32" i="42"/>
  <c r="AO32" i="42"/>
  <c r="AM32" i="42"/>
  <c r="AL32" i="42"/>
  <c r="AK32" i="42"/>
  <c r="AJ32" i="42"/>
  <c r="AI32" i="42"/>
  <c r="AH32" i="42"/>
  <c r="AG32" i="42"/>
  <c r="AF32" i="42"/>
  <c r="AE32" i="42"/>
  <c r="AD32" i="42"/>
  <c r="AC32" i="42"/>
  <c r="AA32" i="42"/>
  <c r="Z32" i="42"/>
  <c r="Y32" i="42"/>
  <c r="X32" i="42"/>
  <c r="W32" i="42"/>
  <c r="V32" i="42"/>
  <c r="U32" i="42"/>
  <c r="T32" i="42"/>
  <c r="S32" i="42"/>
  <c r="R32" i="42"/>
  <c r="Q32" i="42"/>
  <c r="O32" i="42"/>
  <c r="N32" i="42"/>
  <c r="M32" i="42"/>
  <c r="L32" i="42"/>
  <c r="K32" i="42"/>
  <c r="J32" i="42"/>
  <c r="I32" i="42"/>
  <c r="H32" i="42"/>
  <c r="G32" i="42"/>
  <c r="F32" i="42"/>
  <c r="E32" i="42"/>
  <c r="AV31" i="42"/>
  <c r="AU31" i="42"/>
  <c r="AT31" i="42"/>
  <c r="AS31" i="42"/>
  <c r="AR31" i="42"/>
  <c r="AQ31" i="42"/>
  <c r="AP31" i="42"/>
  <c r="AO31" i="42"/>
  <c r="AJ31" i="42"/>
  <c r="AI31" i="42"/>
  <c r="AH31" i="42"/>
  <c r="AG31" i="42"/>
  <c r="AF31" i="42"/>
  <c r="AE31" i="42"/>
  <c r="AD31" i="42"/>
  <c r="AC31" i="42"/>
  <c r="X31" i="42"/>
  <c r="W31" i="42"/>
  <c r="V31" i="42"/>
  <c r="U31" i="42"/>
  <c r="T31" i="42"/>
  <c r="S31" i="42"/>
  <c r="R31" i="42"/>
  <c r="Q31" i="42"/>
  <c r="L31" i="42"/>
  <c r="K31" i="42"/>
  <c r="J31" i="42"/>
  <c r="I31" i="42"/>
  <c r="H31" i="42"/>
  <c r="G31" i="42"/>
  <c r="F31" i="42"/>
  <c r="E31" i="42"/>
  <c r="S87" i="42" l="1"/>
  <c r="S94" i="42"/>
  <c r="S95" i="42"/>
  <c r="S96" i="42"/>
  <c r="S97" i="42"/>
  <c r="AQ88" i="42"/>
  <c r="AQ89" i="42"/>
  <c r="AQ90" i="42"/>
  <c r="AQ91" i="42"/>
  <c r="AQ92" i="42"/>
  <c r="S72" i="42"/>
  <c r="S98" i="42"/>
  <c r="AQ98" i="42"/>
  <c r="S99" i="42"/>
  <c r="S111" i="42"/>
  <c r="S117" i="42"/>
  <c r="S118" i="42"/>
  <c r="S119" i="42"/>
  <c r="S63" i="42"/>
  <c r="S64" i="42"/>
  <c r="S65" i="42"/>
  <c r="S88" i="42"/>
  <c r="S89" i="42"/>
  <c r="S90" i="42"/>
  <c r="AQ112" i="42"/>
  <c r="AQ113" i="42"/>
  <c r="AQ114" i="42"/>
  <c r="J44" i="41" l="1"/>
  <c r="I44" i="41"/>
  <c r="J42" i="41"/>
  <c r="I42" i="41"/>
  <c r="J40" i="41"/>
  <c r="I40" i="41"/>
  <c r="J38" i="41"/>
  <c r="I38" i="41"/>
  <c r="J36" i="41"/>
  <c r="I36" i="41"/>
  <c r="J25" i="41"/>
  <c r="I25" i="41"/>
  <c r="J23" i="41"/>
  <c r="I23" i="41"/>
  <c r="J19" i="41"/>
  <c r="I19" i="41"/>
  <c r="J17" i="41"/>
  <c r="I17" i="41"/>
  <c r="J15" i="41"/>
  <c r="I15" i="41"/>
  <c r="J13" i="41"/>
  <c r="I13" i="41"/>
  <c r="J11" i="41"/>
  <c r="I11" i="41"/>
  <c r="J9" i="41"/>
  <c r="I9" i="41"/>
  <c r="J44" i="40"/>
  <c r="I44" i="40"/>
  <c r="J42" i="40"/>
  <c r="I42" i="40"/>
  <c r="J40" i="40"/>
  <c r="I40" i="40"/>
  <c r="J38" i="40"/>
  <c r="I38" i="40"/>
  <c r="J36" i="40"/>
  <c r="I36" i="40"/>
  <c r="J25" i="40"/>
  <c r="I25" i="40"/>
  <c r="J23" i="40"/>
  <c r="I23" i="40"/>
  <c r="J19" i="40"/>
  <c r="I19" i="40"/>
  <c r="J17" i="40"/>
  <c r="I17" i="40"/>
  <c r="J15" i="40"/>
  <c r="I15" i="40"/>
  <c r="J13" i="40"/>
  <c r="I13" i="40"/>
  <c r="J11" i="40"/>
  <c r="I11" i="40"/>
  <c r="J9" i="40"/>
  <c r="I9" i="40"/>
  <c r="V29" i="39"/>
  <c r="U29" i="39"/>
  <c r="T29" i="39"/>
  <c r="S29" i="39"/>
  <c r="V28" i="39"/>
  <c r="U28" i="39"/>
  <c r="T28" i="39"/>
  <c r="S28" i="39"/>
  <c r="R28" i="39"/>
  <c r="Q28" i="39"/>
  <c r="P28" i="39"/>
  <c r="O28" i="39"/>
  <c r="N28" i="39"/>
  <c r="M28" i="39"/>
  <c r="L28" i="39"/>
  <c r="K28" i="39"/>
  <c r="J28" i="39"/>
  <c r="I28" i="39"/>
  <c r="H28" i="39"/>
  <c r="G28" i="39"/>
  <c r="F28" i="39"/>
  <c r="E28" i="39"/>
  <c r="V15" i="39"/>
  <c r="U15" i="39"/>
  <c r="T15" i="39"/>
  <c r="S15" i="39"/>
  <c r="R15" i="39"/>
  <c r="Q15" i="39"/>
  <c r="P15" i="39"/>
  <c r="O15" i="39"/>
  <c r="N15" i="39"/>
  <c r="M15" i="39"/>
  <c r="L15" i="39"/>
  <c r="K15" i="39"/>
  <c r="J15" i="39"/>
  <c r="I15" i="39"/>
  <c r="H15" i="39"/>
  <c r="G15" i="39"/>
  <c r="F15" i="39"/>
  <c r="E15" i="39"/>
  <c r="D15" i="39"/>
  <c r="S143" i="38"/>
  <c r="P143" i="38"/>
  <c r="I143" i="38"/>
  <c r="H143" i="38"/>
  <c r="J143" i="38" s="1"/>
  <c r="F143" i="38"/>
  <c r="E143" i="38"/>
  <c r="G143" i="38" s="1"/>
  <c r="S142" i="38"/>
  <c r="P142" i="38"/>
  <c r="I142" i="38"/>
  <c r="H142" i="38"/>
  <c r="J142" i="38" s="1"/>
  <c r="F142" i="38"/>
  <c r="E142" i="38"/>
  <c r="G142" i="38" s="1"/>
  <c r="S141" i="38"/>
  <c r="P141" i="38"/>
  <c r="I141" i="38"/>
  <c r="H141" i="38"/>
  <c r="J141" i="38" s="1"/>
  <c r="F141" i="38"/>
  <c r="E141" i="38"/>
  <c r="G141" i="38" s="1"/>
  <c r="S140" i="38"/>
  <c r="P140" i="38"/>
  <c r="I140" i="38"/>
  <c r="H140" i="38"/>
  <c r="J140" i="38" s="1"/>
  <c r="G140" i="38"/>
  <c r="F140" i="38"/>
  <c r="E140" i="38"/>
  <c r="S139" i="38"/>
  <c r="P139" i="38"/>
  <c r="I139" i="38"/>
  <c r="H139" i="38"/>
  <c r="J139" i="38" s="1"/>
  <c r="G139" i="38"/>
  <c r="F139" i="38"/>
  <c r="E139" i="38"/>
  <c r="S138" i="38"/>
  <c r="P138" i="38"/>
  <c r="I138" i="38"/>
  <c r="H138" i="38"/>
  <c r="J138" i="38" s="1"/>
  <c r="G138" i="38"/>
  <c r="F138" i="38"/>
  <c r="E138" i="38"/>
  <c r="S135" i="38"/>
  <c r="P135" i="38"/>
  <c r="I135" i="38"/>
  <c r="H135" i="38"/>
  <c r="J135" i="38" s="1"/>
  <c r="G135" i="38"/>
  <c r="F135" i="38"/>
  <c r="E135" i="38"/>
  <c r="S131" i="38"/>
  <c r="P131" i="38"/>
  <c r="I131" i="38"/>
  <c r="H131" i="38"/>
  <c r="J131" i="38" s="1"/>
  <c r="G131" i="38"/>
  <c r="F131" i="38"/>
  <c r="E131" i="38"/>
  <c r="S129" i="38"/>
  <c r="P129" i="38"/>
  <c r="I128" i="38"/>
  <c r="H128" i="38"/>
  <c r="J128" i="38" s="1"/>
  <c r="G128" i="38"/>
  <c r="F128" i="38"/>
  <c r="E128" i="38"/>
  <c r="S126" i="38"/>
  <c r="P126" i="38"/>
  <c r="I126" i="38"/>
  <c r="H126" i="38"/>
  <c r="J126" i="38" s="1"/>
  <c r="G126" i="38"/>
  <c r="F126" i="38"/>
  <c r="E126" i="38"/>
  <c r="S125" i="38"/>
  <c r="P125" i="38"/>
  <c r="I125" i="38"/>
  <c r="H125" i="38"/>
  <c r="J125" i="38" s="1"/>
  <c r="G125" i="38"/>
  <c r="F125" i="38"/>
  <c r="E125" i="38"/>
  <c r="S121" i="38"/>
  <c r="P121" i="38"/>
  <c r="I121" i="38"/>
  <c r="H121" i="38"/>
  <c r="J121" i="38" s="1"/>
  <c r="G121" i="38"/>
  <c r="F121" i="38"/>
  <c r="E121" i="38"/>
  <c r="S120" i="38"/>
  <c r="P120" i="38"/>
  <c r="I120" i="38"/>
  <c r="H120" i="38"/>
  <c r="J120" i="38" s="1"/>
  <c r="G120" i="38"/>
  <c r="F120" i="38"/>
  <c r="E120" i="38"/>
  <c r="S117" i="38"/>
  <c r="P117" i="38"/>
  <c r="I116" i="38"/>
  <c r="H116" i="38"/>
  <c r="J116" i="38" s="1"/>
  <c r="G116" i="38"/>
  <c r="F116" i="38"/>
  <c r="E116" i="38"/>
  <c r="S115" i="38"/>
  <c r="P115" i="38"/>
  <c r="I115" i="38"/>
  <c r="H115" i="38"/>
  <c r="J115" i="38" s="1"/>
  <c r="G115" i="38"/>
  <c r="F115" i="38"/>
  <c r="E115" i="38"/>
  <c r="Q112" i="38"/>
  <c r="S112" i="38" s="1"/>
  <c r="N112" i="38"/>
  <c r="P112" i="38" s="1"/>
  <c r="I112" i="38"/>
  <c r="F112" i="38"/>
  <c r="E112" i="38"/>
  <c r="G112" i="38" s="1"/>
  <c r="R111" i="38"/>
  <c r="I111" i="38" s="1"/>
  <c r="Q111" i="38"/>
  <c r="S111" i="38" s="1"/>
  <c r="P111" i="38"/>
  <c r="N111" i="38"/>
  <c r="H111" i="38"/>
  <c r="J111" i="38" s="1"/>
  <c r="F111" i="38"/>
  <c r="E111" i="38"/>
  <c r="G111" i="38" s="1"/>
  <c r="S110" i="38"/>
  <c r="R110" i="38"/>
  <c r="P110" i="38"/>
  <c r="I110" i="38"/>
  <c r="J110" i="38" s="1"/>
  <c r="F110" i="38"/>
  <c r="G110" i="38" s="1"/>
  <c r="R109" i="38"/>
  <c r="S109" i="38" s="1"/>
  <c r="J109" i="38" s="1"/>
  <c r="Q109" i="38"/>
  <c r="P109" i="38"/>
  <c r="G109" i="38" s="1"/>
  <c r="N109" i="38"/>
  <c r="E109" i="38" s="1"/>
  <c r="H109" i="38"/>
  <c r="F109" i="38"/>
  <c r="R108" i="38"/>
  <c r="Q108" i="38"/>
  <c r="H108" i="38" s="1"/>
  <c r="J108" i="38" s="1"/>
  <c r="N108" i="38"/>
  <c r="E107" i="38" s="1"/>
  <c r="G107" i="38" s="1"/>
  <c r="I108" i="38"/>
  <c r="F108" i="38"/>
  <c r="E108" i="38"/>
  <c r="G108" i="38" s="1"/>
  <c r="R107" i="38"/>
  <c r="Q107" i="38"/>
  <c r="S107" i="38" s="1"/>
  <c r="P107" i="38"/>
  <c r="N107" i="38"/>
  <c r="H107" i="38"/>
  <c r="J107" i="38" s="1"/>
  <c r="F107" i="38"/>
  <c r="I107" i="38" s="1"/>
  <c r="S106" i="38"/>
  <c r="R106" i="38"/>
  <c r="Q106" i="38"/>
  <c r="H106" i="38" s="1"/>
  <c r="J106" i="38" s="1"/>
  <c r="N106" i="38"/>
  <c r="P106" i="38" s="1"/>
  <c r="I106" i="38"/>
  <c r="F106" i="38"/>
  <c r="R105" i="38"/>
  <c r="Q105" i="38"/>
  <c r="S105" i="38" s="1"/>
  <c r="P105" i="38"/>
  <c r="N105" i="38"/>
  <c r="H105" i="38"/>
  <c r="F105" i="38"/>
  <c r="I105" i="38" s="1"/>
  <c r="J105" i="38" s="1"/>
  <c r="E105" i="38"/>
  <c r="G105" i="38" s="1"/>
  <c r="S104" i="38"/>
  <c r="R104" i="38"/>
  <c r="P104" i="38"/>
  <c r="I104" i="38"/>
  <c r="H104" i="38"/>
  <c r="J104" i="38" s="1"/>
  <c r="G104" i="38"/>
  <c r="F104" i="38"/>
  <c r="E104" i="38"/>
  <c r="S96" i="38"/>
  <c r="P96" i="38"/>
  <c r="I96" i="38"/>
  <c r="H96" i="38"/>
  <c r="J96" i="38" s="1"/>
  <c r="F96" i="38"/>
  <c r="E96" i="38"/>
  <c r="G96" i="38" s="1"/>
  <c r="S95" i="38"/>
  <c r="P95" i="38"/>
  <c r="I95" i="38"/>
  <c r="H95" i="38"/>
  <c r="J95" i="38" s="1"/>
  <c r="F95" i="38"/>
  <c r="E95" i="38"/>
  <c r="G95" i="38" s="1"/>
  <c r="S94" i="38"/>
  <c r="P94" i="38"/>
  <c r="I94" i="38"/>
  <c r="H94" i="38"/>
  <c r="J94" i="38" s="1"/>
  <c r="F94" i="38"/>
  <c r="E94" i="38"/>
  <c r="G94" i="38" s="1"/>
  <c r="S93" i="38"/>
  <c r="P93" i="38"/>
  <c r="I93" i="38"/>
  <c r="H93" i="38"/>
  <c r="J93" i="38" s="1"/>
  <c r="F93" i="38"/>
  <c r="E93" i="38"/>
  <c r="G93" i="38" s="1"/>
  <c r="S92" i="38"/>
  <c r="P92" i="38"/>
  <c r="I92" i="38"/>
  <c r="H92" i="38"/>
  <c r="J92" i="38" s="1"/>
  <c r="F92" i="38"/>
  <c r="E92" i="38"/>
  <c r="G92" i="38" s="1"/>
  <c r="S91" i="38"/>
  <c r="P91" i="38"/>
  <c r="I91" i="38"/>
  <c r="H91" i="38"/>
  <c r="J91" i="38" s="1"/>
  <c r="F91" i="38"/>
  <c r="E91" i="38"/>
  <c r="G91" i="38" s="1"/>
  <c r="S90" i="38"/>
  <c r="P90" i="38"/>
  <c r="I90" i="38"/>
  <c r="H90" i="38"/>
  <c r="J90" i="38" s="1"/>
  <c r="F90" i="38"/>
  <c r="E90" i="38"/>
  <c r="S89" i="38"/>
  <c r="P89" i="38"/>
  <c r="J89" i="38"/>
  <c r="I89" i="38"/>
  <c r="H89" i="38"/>
  <c r="F89" i="38"/>
  <c r="E89" i="38"/>
  <c r="G89" i="38" s="1"/>
  <c r="S88" i="38"/>
  <c r="P88" i="38"/>
  <c r="J88" i="38"/>
  <c r="I88" i="38"/>
  <c r="H88" i="38"/>
  <c r="F88" i="38"/>
  <c r="E88" i="38"/>
  <c r="S87" i="38"/>
  <c r="P87" i="38"/>
  <c r="I87" i="38"/>
  <c r="H87" i="38"/>
  <c r="J87" i="38" s="1"/>
  <c r="F87" i="38"/>
  <c r="E87" i="38"/>
  <c r="G87" i="38" s="1"/>
  <c r="S86" i="38"/>
  <c r="P86" i="38"/>
  <c r="I86" i="38"/>
  <c r="H86" i="38"/>
  <c r="J86" i="38" s="1"/>
  <c r="F86" i="38"/>
  <c r="E86" i="38"/>
  <c r="S85" i="38"/>
  <c r="P85" i="38"/>
  <c r="J85" i="38"/>
  <c r="I85" i="38"/>
  <c r="H85" i="38"/>
  <c r="F85" i="38"/>
  <c r="E85" i="38"/>
  <c r="G85" i="38" s="1"/>
  <c r="S84" i="38"/>
  <c r="P84" i="38"/>
  <c r="J84" i="38"/>
  <c r="I84" i="38"/>
  <c r="H84" i="38"/>
  <c r="F84" i="38"/>
  <c r="E84" i="38"/>
  <c r="S83" i="38"/>
  <c r="P83" i="38"/>
  <c r="I83" i="38"/>
  <c r="H83" i="38"/>
  <c r="J83" i="38" s="1"/>
  <c r="F83" i="38"/>
  <c r="E83" i="38"/>
  <c r="G83" i="38" s="1"/>
  <c r="S82" i="38"/>
  <c r="P82" i="38"/>
  <c r="I82" i="38"/>
  <c r="H82" i="38"/>
  <c r="J82" i="38" s="1"/>
  <c r="F82" i="38"/>
  <c r="E82" i="38"/>
  <c r="S81" i="38"/>
  <c r="P81" i="38"/>
  <c r="J81" i="38"/>
  <c r="I81" i="38"/>
  <c r="H81" i="38"/>
  <c r="F81" i="38"/>
  <c r="E81" i="38"/>
  <c r="G81" i="38" s="1"/>
  <c r="S80" i="38"/>
  <c r="P80" i="38"/>
  <c r="J80" i="38"/>
  <c r="I80" i="38"/>
  <c r="H80" i="38"/>
  <c r="F80" i="38"/>
  <c r="E80" i="38"/>
  <c r="S79" i="38"/>
  <c r="P79" i="38"/>
  <c r="I79" i="38"/>
  <c r="H79" i="38"/>
  <c r="J79" i="38" s="1"/>
  <c r="F79" i="38"/>
  <c r="E79" i="38"/>
  <c r="G79" i="38" s="1"/>
  <c r="S78" i="38"/>
  <c r="P78" i="38"/>
  <c r="I78" i="38"/>
  <c r="H78" i="38"/>
  <c r="J78" i="38" s="1"/>
  <c r="F78" i="38"/>
  <c r="E78" i="38"/>
  <c r="S77" i="38"/>
  <c r="P77" i="38"/>
  <c r="J77" i="38"/>
  <c r="I77" i="38"/>
  <c r="H77" i="38"/>
  <c r="F77" i="38"/>
  <c r="E77" i="38"/>
  <c r="G77" i="38" s="1"/>
  <c r="S76" i="38"/>
  <c r="P76" i="38"/>
  <c r="J76" i="38"/>
  <c r="I76" i="38"/>
  <c r="H76" i="38"/>
  <c r="F76" i="38"/>
  <c r="E76" i="38"/>
  <c r="S75" i="38"/>
  <c r="P75" i="38"/>
  <c r="I75" i="38"/>
  <c r="H75" i="38"/>
  <c r="J75" i="38" s="1"/>
  <c r="F75" i="38"/>
  <c r="E75" i="38"/>
  <c r="G75" i="38" s="1"/>
  <c r="S74" i="38"/>
  <c r="P74" i="38"/>
  <c r="I74" i="38"/>
  <c r="H74" i="38"/>
  <c r="J74" i="38" s="1"/>
  <c r="F74" i="38"/>
  <c r="E74" i="38"/>
  <c r="S73" i="38"/>
  <c r="P73" i="38"/>
  <c r="J73" i="38"/>
  <c r="I73" i="38"/>
  <c r="H73" i="38"/>
  <c r="F73" i="38"/>
  <c r="E73" i="38"/>
  <c r="G73" i="38" s="1"/>
  <c r="S72" i="38"/>
  <c r="P72" i="38"/>
  <c r="J72" i="38"/>
  <c r="I72" i="38"/>
  <c r="H72" i="38"/>
  <c r="F72" i="38"/>
  <c r="E72" i="38"/>
  <c r="S71" i="38"/>
  <c r="P71" i="38"/>
  <c r="I71" i="38"/>
  <c r="H71" i="38"/>
  <c r="J71" i="38" s="1"/>
  <c r="F71" i="38"/>
  <c r="E71" i="38"/>
  <c r="G71" i="38" s="1"/>
  <c r="S70" i="38"/>
  <c r="P70" i="38"/>
  <c r="I70" i="38"/>
  <c r="H70" i="38"/>
  <c r="J70" i="38" s="1"/>
  <c r="F70" i="38"/>
  <c r="E70" i="38"/>
  <c r="S69" i="38"/>
  <c r="P69" i="38"/>
  <c r="J69" i="38"/>
  <c r="I69" i="38"/>
  <c r="H69" i="38"/>
  <c r="F69" i="38"/>
  <c r="E69" i="38"/>
  <c r="G69" i="38" s="1"/>
  <c r="S68" i="38"/>
  <c r="P68" i="38"/>
  <c r="J68" i="38"/>
  <c r="I68" i="38"/>
  <c r="H68" i="38"/>
  <c r="F68" i="38"/>
  <c r="E68" i="38"/>
  <c r="S67" i="38"/>
  <c r="R67" i="38"/>
  <c r="J67" i="38"/>
  <c r="I67" i="38"/>
  <c r="H67" i="38"/>
  <c r="E67" i="38"/>
  <c r="S66" i="38"/>
  <c r="O66" i="38"/>
  <c r="I66" i="38"/>
  <c r="H66" i="38"/>
  <c r="E66" i="38"/>
  <c r="R65" i="38"/>
  <c r="P65" i="38"/>
  <c r="H65" i="38"/>
  <c r="F65" i="38"/>
  <c r="E65" i="38"/>
  <c r="S64" i="38"/>
  <c r="R64" i="38"/>
  <c r="P64" i="38"/>
  <c r="I64" i="38"/>
  <c r="J64" i="38" s="1"/>
  <c r="H64" i="38"/>
  <c r="F64" i="38"/>
  <c r="E64" i="38"/>
  <c r="G64" i="38" s="1"/>
  <c r="S56" i="38"/>
  <c r="P56" i="38"/>
  <c r="J56" i="38"/>
  <c r="I56" i="38"/>
  <c r="H56" i="38"/>
  <c r="F56" i="38"/>
  <c r="G56" i="38" s="1"/>
  <c r="E56" i="38"/>
  <c r="S51" i="38"/>
  <c r="P51" i="38"/>
  <c r="I51" i="38"/>
  <c r="H51" i="38"/>
  <c r="J51" i="38" s="1"/>
  <c r="F51" i="38"/>
  <c r="G51" i="38" s="1"/>
  <c r="E51" i="38"/>
  <c r="S45" i="38"/>
  <c r="R45" i="38"/>
  <c r="P45" i="38"/>
  <c r="I45" i="38"/>
  <c r="J45" i="38" s="1"/>
  <c r="H45" i="38"/>
  <c r="G45" i="38"/>
  <c r="F45" i="38"/>
  <c r="E45" i="38"/>
  <c r="R44" i="38"/>
  <c r="S44" i="38" s="1"/>
  <c r="N44" i="38"/>
  <c r="P44" i="38" s="1"/>
  <c r="H44" i="38"/>
  <c r="F44" i="38"/>
  <c r="R43" i="38"/>
  <c r="P43" i="38"/>
  <c r="H43" i="38"/>
  <c r="F43" i="38"/>
  <c r="G43" i="38" s="1"/>
  <c r="E43" i="38"/>
  <c r="S37" i="38"/>
  <c r="R37" i="38"/>
  <c r="P37" i="38"/>
  <c r="O37" i="38"/>
  <c r="J37" i="38"/>
  <c r="I37" i="38"/>
  <c r="H37" i="38"/>
  <c r="F37" i="38"/>
  <c r="G37" i="38" s="1"/>
  <c r="E37" i="38"/>
  <c r="S36" i="38"/>
  <c r="R36" i="38"/>
  <c r="P36" i="38"/>
  <c r="I36" i="38"/>
  <c r="J36" i="38" s="1"/>
  <c r="H36" i="38"/>
  <c r="F36" i="38"/>
  <c r="E36" i="38"/>
  <c r="G36" i="38" s="1"/>
  <c r="J17" i="38"/>
  <c r="I17" i="38"/>
  <c r="E17" i="38"/>
  <c r="L11" i="38"/>
  <c r="L17" i="38" s="1"/>
  <c r="K11" i="38"/>
  <c r="K17" i="38" s="1"/>
  <c r="H11" i="38"/>
  <c r="H17" i="38" s="1"/>
  <c r="G11" i="38"/>
  <c r="G17" i="38" s="1"/>
  <c r="F11" i="38"/>
  <c r="F17" i="38" s="1"/>
  <c r="BO45" i="37"/>
  <c r="BM45" i="37"/>
  <c r="BK45" i="37"/>
  <c r="BI45" i="37"/>
  <c r="BI29" i="37" s="1"/>
  <c r="BG45" i="37"/>
  <c r="BE45" i="37"/>
  <c r="BC45" i="37"/>
  <c r="BA45" i="37"/>
  <c r="AY45" i="37"/>
  <c r="AW45" i="37"/>
  <c r="AU45" i="37"/>
  <c r="AS45" i="37"/>
  <c r="AS33" i="37" s="1"/>
  <c r="AQ45" i="37"/>
  <c r="AO45" i="37"/>
  <c r="AM45" i="37"/>
  <c r="AK45" i="37"/>
  <c r="AK33" i="37" s="1"/>
  <c r="AI45" i="37"/>
  <c r="AG45" i="37"/>
  <c r="AE45" i="37"/>
  <c r="AC45" i="37"/>
  <c r="AC33" i="37" s="1"/>
  <c r="AA45" i="37"/>
  <c r="Y45" i="37"/>
  <c r="W45" i="37"/>
  <c r="U45" i="37"/>
  <c r="U33" i="37" s="1"/>
  <c r="S45" i="37"/>
  <c r="Q45" i="37"/>
  <c r="O45" i="37"/>
  <c r="M45" i="37"/>
  <c r="M33" i="37" s="1"/>
  <c r="K45" i="37"/>
  <c r="I45" i="37"/>
  <c r="G45" i="37"/>
  <c r="E45" i="37"/>
  <c r="E33" i="37" s="1"/>
  <c r="C45" i="37"/>
  <c r="BQ41" i="37"/>
  <c r="BR41" i="37" s="1"/>
  <c r="BO41" i="37"/>
  <c r="BM41" i="37"/>
  <c r="BG41" i="37"/>
  <c r="BE41" i="37"/>
  <c r="BC41" i="37"/>
  <c r="AY41" i="37"/>
  <c r="AW41" i="37"/>
  <c r="AU41" i="37"/>
  <c r="AS41" i="37"/>
  <c r="AQ41" i="37"/>
  <c r="AO41" i="37"/>
  <c r="AM41" i="37"/>
  <c r="AK41" i="37"/>
  <c r="AI41" i="37"/>
  <c r="AG41" i="37"/>
  <c r="AE41" i="37"/>
  <c r="AC41" i="37"/>
  <c r="AA41" i="37"/>
  <c r="Y41" i="37"/>
  <c r="W41" i="37"/>
  <c r="U41" i="37"/>
  <c r="S41" i="37"/>
  <c r="Q41" i="37"/>
  <c r="O41" i="37"/>
  <c r="M41" i="37"/>
  <c r="K41" i="37"/>
  <c r="I41" i="37"/>
  <c r="G41" i="37"/>
  <c r="E41" i="37"/>
  <c r="C41" i="37"/>
  <c r="BQ40" i="37"/>
  <c r="BR40" i="37" s="1"/>
  <c r="BO40" i="37"/>
  <c r="BM40" i="37"/>
  <c r="BG40" i="37"/>
  <c r="BE40" i="37"/>
  <c r="BC40" i="37"/>
  <c r="AY40" i="37"/>
  <c r="AW40" i="37"/>
  <c r="AU40" i="37"/>
  <c r="AS40" i="37"/>
  <c r="AQ40" i="37"/>
  <c r="AO40" i="37"/>
  <c r="AM40" i="37"/>
  <c r="AK40" i="37"/>
  <c r="AI40" i="37"/>
  <c r="AG40" i="37"/>
  <c r="AE40" i="37"/>
  <c r="AC40" i="37"/>
  <c r="AA40" i="37"/>
  <c r="Y40" i="37"/>
  <c r="W40" i="37"/>
  <c r="U40" i="37"/>
  <c r="S40" i="37"/>
  <c r="Q40" i="37"/>
  <c r="O40" i="37"/>
  <c r="M40" i="37"/>
  <c r="K40" i="37"/>
  <c r="I40" i="37"/>
  <c r="G40" i="37"/>
  <c r="E40" i="37"/>
  <c r="C40" i="37"/>
  <c r="BQ37" i="37"/>
  <c r="BR37" i="37" s="1"/>
  <c r="BO37" i="37"/>
  <c r="BM37" i="37"/>
  <c r="BG37" i="37"/>
  <c r="BE37" i="37"/>
  <c r="BC37" i="37"/>
  <c r="AY37" i="37"/>
  <c r="AW37" i="37"/>
  <c r="AU37" i="37"/>
  <c r="AS37" i="37"/>
  <c r="AQ37" i="37"/>
  <c r="AO37" i="37"/>
  <c r="AM37" i="37"/>
  <c r="AK37" i="37"/>
  <c r="AI37" i="37"/>
  <c r="AG37" i="37"/>
  <c r="AE37" i="37"/>
  <c r="AC37" i="37"/>
  <c r="AA37" i="37"/>
  <c r="Y37" i="37"/>
  <c r="W37" i="37"/>
  <c r="U37" i="37"/>
  <c r="S37" i="37"/>
  <c r="Q37" i="37"/>
  <c r="O37" i="37"/>
  <c r="M37" i="37"/>
  <c r="K37" i="37"/>
  <c r="I37" i="37"/>
  <c r="G37" i="37"/>
  <c r="E37" i="37"/>
  <c r="C37" i="37"/>
  <c r="BQ36" i="37"/>
  <c r="BR36" i="37" s="1"/>
  <c r="BO36" i="37"/>
  <c r="BM36" i="37"/>
  <c r="BG36" i="37"/>
  <c r="BE36" i="37"/>
  <c r="BC36" i="37"/>
  <c r="AY36" i="37"/>
  <c r="AW36" i="37"/>
  <c r="AU36" i="37"/>
  <c r="AS36" i="37"/>
  <c r="AQ36" i="37"/>
  <c r="AO36" i="37"/>
  <c r="AM36" i="37"/>
  <c r="AK36" i="37"/>
  <c r="AI36" i="37"/>
  <c r="AG36" i="37"/>
  <c r="AE36" i="37"/>
  <c r="AC36" i="37"/>
  <c r="AA36" i="37"/>
  <c r="Y36" i="37"/>
  <c r="W36" i="37"/>
  <c r="U36" i="37"/>
  <c r="S36" i="37"/>
  <c r="Q36" i="37"/>
  <c r="O36" i="37"/>
  <c r="M36" i="37"/>
  <c r="K36" i="37"/>
  <c r="I36" i="37"/>
  <c r="G36" i="37"/>
  <c r="E36" i="37"/>
  <c r="C36" i="37"/>
  <c r="BR34" i="37"/>
  <c r="BQ33" i="37"/>
  <c r="BO33" i="37"/>
  <c r="BM33" i="37"/>
  <c r="BI33" i="37"/>
  <c r="BG33" i="37"/>
  <c r="BE33" i="37"/>
  <c r="BC33" i="37"/>
  <c r="AY33" i="37"/>
  <c r="AW33" i="37"/>
  <c r="AU33" i="37"/>
  <c r="AQ33" i="37"/>
  <c r="AO33" i="37"/>
  <c r="AM33" i="37"/>
  <c r="AI33" i="37"/>
  <c r="AG33" i="37"/>
  <c r="AE33" i="37"/>
  <c r="AA33" i="37"/>
  <c r="Y33" i="37"/>
  <c r="W33" i="37"/>
  <c r="S33" i="37"/>
  <c r="Q33" i="37"/>
  <c r="O33" i="37"/>
  <c r="K33" i="37"/>
  <c r="I33" i="37"/>
  <c r="G33" i="37"/>
  <c r="C33" i="37"/>
  <c r="BQ32" i="37"/>
  <c r="BO32" i="37"/>
  <c r="BM32" i="37"/>
  <c r="BI32" i="37"/>
  <c r="BG32" i="37"/>
  <c r="BE32" i="37"/>
  <c r="BC32" i="37"/>
  <c r="AY32" i="37"/>
  <c r="AW32" i="37"/>
  <c r="AU32" i="37"/>
  <c r="AQ32" i="37"/>
  <c r="AO32" i="37"/>
  <c r="AM32" i="37"/>
  <c r="AI32" i="37"/>
  <c r="AG32" i="37"/>
  <c r="AE32" i="37"/>
  <c r="AA32" i="37"/>
  <c r="Y32" i="37"/>
  <c r="W32" i="37"/>
  <c r="S32" i="37"/>
  <c r="Q32" i="37"/>
  <c r="O32" i="37"/>
  <c r="K32" i="37"/>
  <c r="I32" i="37"/>
  <c r="G32" i="37"/>
  <c r="C32" i="37"/>
  <c r="BR31" i="37"/>
  <c r="BQ29" i="37"/>
  <c r="BR29" i="37" s="1"/>
  <c r="BO29" i="37"/>
  <c r="BM29" i="37"/>
  <c r="BG29" i="37"/>
  <c r="BE29" i="37"/>
  <c r="BC29" i="37"/>
  <c r="AY29" i="37"/>
  <c r="AW29" i="37"/>
  <c r="AU29" i="37"/>
  <c r="AQ29" i="37"/>
  <c r="AO29" i="37"/>
  <c r="AM29" i="37"/>
  <c r="AI29" i="37"/>
  <c r="AG29" i="37"/>
  <c r="AE29" i="37"/>
  <c r="AA29" i="37"/>
  <c r="Y29" i="37"/>
  <c r="W29" i="37"/>
  <c r="S29" i="37"/>
  <c r="Q29" i="37"/>
  <c r="O29" i="37"/>
  <c r="K29" i="37"/>
  <c r="I29" i="37"/>
  <c r="G29" i="37"/>
  <c r="C29" i="37"/>
  <c r="BQ28" i="37"/>
  <c r="BR28" i="37" s="1"/>
  <c r="BO28" i="37"/>
  <c r="BM28" i="37"/>
  <c r="BG28" i="37"/>
  <c r="BE28" i="37"/>
  <c r="BC28" i="37"/>
  <c r="AY28" i="37"/>
  <c r="AW28" i="37"/>
  <c r="AU28" i="37"/>
  <c r="AQ28" i="37"/>
  <c r="AO28" i="37"/>
  <c r="AM28" i="37"/>
  <c r="AI28" i="37"/>
  <c r="AG28" i="37"/>
  <c r="AE28" i="37"/>
  <c r="AA28" i="37"/>
  <c r="Y28" i="37"/>
  <c r="W28" i="37"/>
  <c r="S28" i="37"/>
  <c r="Q28" i="37"/>
  <c r="O28" i="37"/>
  <c r="K28" i="37"/>
  <c r="I28" i="37"/>
  <c r="G28" i="37"/>
  <c r="C28" i="37"/>
  <c r="BQ25" i="37"/>
  <c r="BR25" i="37" s="1"/>
  <c r="BO25" i="37"/>
  <c r="BM25" i="37"/>
  <c r="BG25" i="37"/>
  <c r="BE25" i="37"/>
  <c r="BC25" i="37"/>
  <c r="AY25" i="37"/>
  <c r="AW25" i="37"/>
  <c r="AU25" i="37"/>
  <c r="AQ25" i="37"/>
  <c r="AO25" i="37"/>
  <c r="AM25" i="37"/>
  <c r="AI25" i="37"/>
  <c r="AG25" i="37"/>
  <c r="AE25" i="37"/>
  <c r="AA25" i="37"/>
  <c r="Y25" i="37"/>
  <c r="W25" i="37"/>
  <c r="S25" i="37"/>
  <c r="Q25" i="37"/>
  <c r="O25" i="37"/>
  <c r="K25" i="37"/>
  <c r="I25" i="37"/>
  <c r="G25" i="37"/>
  <c r="C25" i="37"/>
  <c r="BQ24" i="37"/>
  <c r="BR24" i="37" s="1"/>
  <c r="BO24" i="37"/>
  <c r="BM24" i="37"/>
  <c r="BG24" i="37"/>
  <c r="BE24" i="37"/>
  <c r="BC24" i="37"/>
  <c r="AY24" i="37"/>
  <c r="AW24" i="37"/>
  <c r="AU24" i="37"/>
  <c r="AQ24" i="37"/>
  <c r="AO24" i="37"/>
  <c r="AM24" i="37"/>
  <c r="AI24" i="37"/>
  <c r="AG24" i="37"/>
  <c r="AE24" i="37"/>
  <c r="AA24" i="37"/>
  <c r="Y24" i="37"/>
  <c r="W24" i="37"/>
  <c r="S24" i="37"/>
  <c r="Q24" i="37"/>
  <c r="O24" i="37"/>
  <c r="K24" i="37"/>
  <c r="I24" i="37"/>
  <c r="G24" i="37"/>
  <c r="C24" i="37"/>
  <c r="BQ21" i="37"/>
  <c r="BR21" i="37" s="1"/>
  <c r="BO21" i="37"/>
  <c r="BM21" i="37"/>
  <c r="BG21" i="37"/>
  <c r="BE21" i="37"/>
  <c r="BC21" i="37"/>
  <c r="AY21" i="37"/>
  <c r="AW21" i="37"/>
  <c r="AU21" i="37"/>
  <c r="AQ21" i="37"/>
  <c r="AO21" i="37"/>
  <c r="AM21" i="37"/>
  <c r="AI21" i="37"/>
  <c r="AG21" i="37"/>
  <c r="AE21" i="37"/>
  <c r="AA21" i="37"/>
  <c r="Y21" i="37"/>
  <c r="W21" i="37"/>
  <c r="S21" i="37"/>
  <c r="Q21" i="37"/>
  <c r="O21" i="37"/>
  <c r="K21" i="37"/>
  <c r="I21" i="37"/>
  <c r="G21" i="37"/>
  <c r="C21" i="37"/>
  <c r="BQ20" i="37"/>
  <c r="BR20" i="37" s="1"/>
  <c r="BO20" i="37"/>
  <c r="BM20" i="37"/>
  <c r="BG20" i="37"/>
  <c r="BE20" i="37"/>
  <c r="BC20" i="37"/>
  <c r="AY20" i="37"/>
  <c r="AW20" i="37"/>
  <c r="AU20" i="37"/>
  <c r="AQ20" i="37"/>
  <c r="AO20" i="37"/>
  <c r="AM20" i="37"/>
  <c r="AI20" i="37"/>
  <c r="AG20" i="37"/>
  <c r="AE20" i="37"/>
  <c r="AA20" i="37"/>
  <c r="Y20" i="37"/>
  <c r="W20" i="37"/>
  <c r="S20" i="37"/>
  <c r="Q20" i="37"/>
  <c r="O20" i="37"/>
  <c r="K20" i="37"/>
  <c r="I20" i="37"/>
  <c r="G20" i="37"/>
  <c r="C20" i="37"/>
  <c r="BQ17" i="37"/>
  <c r="BR17" i="37" s="1"/>
  <c r="BO17" i="37"/>
  <c r="BM17" i="37"/>
  <c r="BG17" i="37"/>
  <c r="BE17" i="37"/>
  <c r="BC17" i="37"/>
  <c r="AY17" i="37"/>
  <c r="AW17" i="37"/>
  <c r="AU17" i="37"/>
  <c r="AQ17" i="37"/>
  <c r="AO17" i="37"/>
  <c r="AM17" i="37"/>
  <c r="AI17" i="37"/>
  <c r="AG17" i="37"/>
  <c r="AE17" i="37"/>
  <c r="AA17" i="37"/>
  <c r="Y17" i="37"/>
  <c r="W17" i="37"/>
  <c r="S17" i="37"/>
  <c r="Q17" i="37"/>
  <c r="O17" i="37"/>
  <c r="K17" i="37"/>
  <c r="I17" i="37"/>
  <c r="G17" i="37"/>
  <c r="C17" i="37"/>
  <c r="BQ16" i="37"/>
  <c r="BR16" i="37" s="1"/>
  <c r="BO16" i="37"/>
  <c r="BM16" i="37"/>
  <c r="BG16" i="37"/>
  <c r="BE16" i="37"/>
  <c r="BC16" i="37"/>
  <c r="AY16" i="37"/>
  <c r="AW16" i="37"/>
  <c r="AU16" i="37"/>
  <c r="AQ16" i="37"/>
  <c r="AO16" i="37"/>
  <c r="AM16" i="37"/>
  <c r="AI16" i="37"/>
  <c r="AG16" i="37"/>
  <c r="AE16" i="37"/>
  <c r="AA16" i="37"/>
  <c r="Y16" i="37"/>
  <c r="W16" i="37"/>
  <c r="S16" i="37"/>
  <c r="Q16" i="37"/>
  <c r="O16" i="37"/>
  <c r="K16" i="37"/>
  <c r="I16" i="37"/>
  <c r="G16" i="37"/>
  <c r="C16" i="37"/>
  <c r="BQ13" i="37"/>
  <c r="BR13" i="37" s="1"/>
  <c r="BO13" i="37"/>
  <c r="BM13" i="37"/>
  <c r="BG13" i="37"/>
  <c r="BE13" i="37"/>
  <c r="BC13" i="37"/>
  <c r="AY13" i="37"/>
  <c r="AW13" i="37"/>
  <c r="AU13" i="37"/>
  <c r="AQ13" i="37"/>
  <c r="AO13" i="37"/>
  <c r="AM13" i="37"/>
  <c r="AI13" i="37"/>
  <c r="AG13" i="37"/>
  <c r="AE13" i="37"/>
  <c r="AA13" i="37"/>
  <c r="Y13" i="37"/>
  <c r="W13" i="37"/>
  <c r="S13" i="37"/>
  <c r="Q13" i="37"/>
  <c r="O13" i="37"/>
  <c r="K13" i="37"/>
  <c r="I13" i="37"/>
  <c r="G13" i="37"/>
  <c r="C13" i="37"/>
  <c r="BQ12" i="37"/>
  <c r="BR12" i="37" s="1"/>
  <c r="BO12" i="37"/>
  <c r="BM12" i="37"/>
  <c r="BG12" i="37"/>
  <c r="BE12" i="37"/>
  <c r="BC12" i="37"/>
  <c r="AY12" i="37"/>
  <c r="AW12" i="37"/>
  <c r="AU12" i="37"/>
  <c r="AQ12" i="37"/>
  <c r="AO12" i="37"/>
  <c r="AM12" i="37"/>
  <c r="AI12" i="37"/>
  <c r="AG12" i="37"/>
  <c r="AE12" i="37"/>
  <c r="AA12" i="37"/>
  <c r="Y12" i="37"/>
  <c r="W12" i="37"/>
  <c r="S12" i="37"/>
  <c r="Q12" i="37"/>
  <c r="O12" i="37"/>
  <c r="K12" i="37"/>
  <c r="I12" i="37"/>
  <c r="G12" i="37"/>
  <c r="C12" i="37"/>
  <c r="BQ9" i="37"/>
  <c r="BR9" i="37" s="1"/>
  <c r="BO9" i="37"/>
  <c r="BM9" i="37"/>
  <c r="BG9" i="37"/>
  <c r="BE9" i="37"/>
  <c r="BC9" i="37"/>
  <c r="AY9" i="37"/>
  <c r="AW9" i="37"/>
  <c r="AU9" i="37"/>
  <c r="AQ9" i="37"/>
  <c r="AO9" i="37"/>
  <c r="AM9" i="37"/>
  <c r="AI9" i="37"/>
  <c r="AG9" i="37"/>
  <c r="AE9" i="37"/>
  <c r="AA9" i="37"/>
  <c r="Y9" i="37"/>
  <c r="W9" i="37"/>
  <c r="S9" i="37"/>
  <c r="Q9" i="37"/>
  <c r="O9" i="37"/>
  <c r="K9" i="37"/>
  <c r="I9" i="37"/>
  <c r="G9" i="37"/>
  <c r="C9" i="37"/>
  <c r="BQ8" i="37"/>
  <c r="BR8" i="37" s="1"/>
  <c r="BO8" i="37"/>
  <c r="BM8" i="37"/>
  <c r="BI8" i="37"/>
  <c r="BG8" i="37"/>
  <c r="BE8" i="37"/>
  <c r="BC8" i="37"/>
  <c r="AY8" i="37"/>
  <c r="AW8" i="37"/>
  <c r="AU8" i="37"/>
  <c r="AS8" i="37"/>
  <c r="AQ8" i="37"/>
  <c r="AO8" i="37"/>
  <c r="AM8" i="37"/>
  <c r="AK8" i="37"/>
  <c r="AI8" i="37"/>
  <c r="AG8" i="37"/>
  <c r="AE8" i="37"/>
  <c r="AC8" i="37"/>
  <c r="AA8" i="37"/>
  <c r="Y8" i="37"/>
  <c r="W8" i="37"/>
  <c r="U8" i="37"/>
  <c r="S8" i="37"/>
  <c r="Q8" i="37"/>
  <c r="O8" i="37"/>
  <c r="M8" i="37"/>
  <c r="K8" i="37"/>
  <c r="I8" i="37"/>
  <c r="G8" i="37"/>
  <c r="E8" i="37"/>
  <c r="C8" i="37"/>
  <c r="BX42" i="36"/>
  <c r="BW42" i="36"/>
  <c r="BX38" i="36"/>
  <c r="BW38" i="36"/>
  <c r="Q38" i="36"/>
  <c r="P38" i="36"/>
  <c r="Q37" i="36"/>
  <c r="P37" i="36"/>
  <c r="BX34" i="36"/>
  <c r="BW34" i="36"/>
  <c r="Q34" i="36"/>
  <c r="P34" i="36"/>
  <c r="Q33" i="36"/>
  <c r="P33" i="36"/>
  <c r="BX30" i="36"/>
  <c r="BW30" i="36"/>
  <c r="Q30" i="36"/>
  <c r="P30" i="36"/>
  <c r="Q29" i="36"/>
  <c r="P29" i="36"/>
  <c r="BX26" i="36"/>
  <c r="BW26" i="36"/>
  <c r="Q26" i="36"/>
  <c r="P26" i="36"/>
  <c r="Q25" i="36"/>
  <c r="P25" i="36"/>
  <c r="BX22" i="36"/>
  <c r="BW22" i="36"/>
  <c r="Q22" i="36"/>
  <c r="P22" i="36"/>
  <c r="Q21" i="36"/>
  <c r="P21" i="36"/>
  <c r="BX18" i="36"/>
  <c r="BW18" i="36"/>
  <c r="BX14" i="36"/>
  <c r="BW14" i="36"/>
  <c r="BZ10" i="36"/>
  <c r="BX10" i="36"/>
  <c r="BW10" i="36"/>
  <c r="I63" i="35"/>
  <c r="H63" i="35"/>
  <c r="G63" i="35"/>
  <c r="F63" i="35"/>
  <c r="E63" i="35"/>
  <c r="D63" i="35"/>
  <c r="C63" i="35"/>
  <c r="B63" i="35"/>
  <c r="I62" i="35"/>
  <c r="H62" i="35"/>
  <c r="G62" i="35"/>
  <c r="F62" i="35"/>
  <c r="E62" i="35"/>
  <c r="D62" i="35"/>
  <c r="C62" i="35"/>
  <c r="B62" i="35"/>
  <c r="I61" i="35"/>
  <c r="H61" i="35"/>
  <c r="G61" i="35"/>
  <c r="F61" i="35"/>
  <c r="E61" i="35"/>
  <c r="D61" i="35"/>
  <c r="C61" i="35"/>
  <c r="B61" i="35"/>
  <c r="I60" i="35"/>
  <c r="H60" i="35"/>
  <c r="G60" i="35"/>
  <c r="F60" i="35"/>
  <c r="E60" i="35"/>
  <c r="D60" i="35"/>
  <c r="C60" i="35"/>
  <c r="B60" i="35"/>
  <c r="I59" i="35"/>
  <c r="H59" i="35"/>
  <c r="G59" i="35"/>
  <c r="F59" i="35"/>
  <c r="E59" i="35"/>
  <c r="D59" i="35"/>
  <c r="C59" i="35"/>
  <c r="B59" i="35"/>
  <c r="I58" i="35"/>
  <c r="H58" i="35"/>
  <c r="G58" i="35"/>
  <c r="F58" i="35"/>
  <c r="E58" i="35"/>
  <c r="D58" i="35"/>
  <c r="C58" i="35"/>
  <c r="B58" i="35"/>
  <c r="I57" i="35"/>
  <c r="H57" i="35"/>
  <c r="G57" i="35"/>
  <c r="F57" i="35"/>
  <c r="E57" i="35"/>
  <c r="D57" i="35"/>
  <c r="C57" i="35"/>
  <c r="B57" i="35"/>
  <c r="I56" i="35"/>
  <c r="H56" i="35"/>
  <c r="G56" i="35"/>
  <c r="F56" i="35"/>
  <c r="E56" i="35"/>
  <c r="D56" i="35"/>
  <c r="C56" i="35"/>
  <c r="B56" i="35"/>
  <c r="I55" i="35"/>
  <c r="H55" i="35"/>
  <c r="G55" i="35"/>
  <c r="F55" i="35"/>
  <c r="E55" i="35"/>
  <c r="D55" i="35"/>
  <c r="C55" i="35"/>
  <c r="B55" i="35"/>
  <c r="I54" i="35"/>
  <c r="H54" i="35"/>
  <c r="G54" i="35"/>
  <c r="F54" i="35"/>
  <c r="E54" i="35"/>
  <c r="D54" i="35"/>
  <c r="C54" i="35"/>
  <c r="B54" i="35"/>
  <c r="I53" i="35"/>
  <c r="H53" i="35"/>
  <c r="G53" i="35"/>
  <c r="F53" i="35"/>
  <c r="E53" i="35"/>
  <c r="D53" i="35"/>
  <c r="C53" i="35"/>
  <c r="B53" i="35"/>
  <c r="I52" i="35"/>
  <c r="H52" i="35"/>
  <c r="G52" i="35"/>
  <c r="F52" i="35"/>
  <c r="E52" i="35"/>
  <c r="D52" i="35"/>
  <c r="C52" i="35"/>
  <c r="B52" i="35"/>
  <c r="I51" i="35"/>
  <c r="H51" i="35"/>
  <c r="G51" i="35"/>
  <c r="F51" i="35"/>
  <c r="E51" i="35"/>
  <c r="D51" i="35"/>
  <c r="C51" i="35"/>
  <c r="B51" i="35"/>
  <c r="I50" i="35"/>
  <c r="H50" i="35"/>
  <c r="G50" i="35"/>
  <c r="F50" i="35"/>
  <c r="E50" i="35"/>
  <c r="D50" i="35"/>
  <c r="C50" i="35"/>
  <c r="B50" i="35"/>
  <c r="I49" i="35"/>
  <c r="H49" i="35"/>
  <c r="G49" i="35"/>
  <c r="F49" i="35"/>
  <c r="E49" i="35"/>
  <c r="D49" i="35"/>
  <c r="C49" i="35"/>
  <c r="B49" i="35"/>
  <c r="I48" i="35"/>
  <c r="H48" i="35"/>
  <c r="G48" i="35"/>
  <c r="F48" i="35"/>
  <c r="E48" i="35"/>
  <c r="D48" i="35"/>
  <c r="C48" i="35"/>
  <c r="B48" i="35"/>
  <c r="I47" i="35"/>
  <c r="H47" i="35"/>
  <c r="G47" i="35"/>
  <c r="F47" i="35"/>
  <c r="E47" i="35"/>
  <c r="D47" i="35"/>
  <c r="C47" i="35"/>
  <c r="B47" i="35"/>
  <c r="I46" i="35"/>
  <c r="H46" i="35"/>
  <c r="G46" i="35"/>
  <c r="F46" i="35"/>
  <c r="E46" i="35"/>
  <c r="D46" i="35"/>
  <c r="C46" i="35"/>
  <c r="B46" i="35"/>
  <c r="I45" i="35"/>
  <c r="H45" i="35"/>
  <c r="G45" i="35"/>
  <c r="F45" i="35"/>
  <c r="E45" i="35"/>
  <c r="D45" i="35"/>
  <c r="C45" i="35"/>
  <c r="B45" i="35"/>
  <c r="I44" i="35"/>
  <c r="H44" i="35"/>
  <c r="G44" i="35"/>
  <c r="F44" i="35"/>
  <c r="E44" i="35"/>
  <c r="D44" i="35"/>
  <c r="C44" i="35"/>
  <c r="B44" i="35"/>
  <c r="I43" i="35"/>
  <c r="H43" i="35"/>
  <c r="G43" i="35"/>
  <c r="F43" i="35"/>
  <c r="E43" i="35"/>
  <c r="D43" i="35"/>
  <c r="C43" i="35"/>
  <c r="B43" i="35"/>
  <c r="I42" i="35"/>
  <c r="H42" i="35"/>
  <c r="G42" i="35"/>
  <c r="F42" i="35"/>
  <c r="E42" i="35"/>
  <c r="D42" i="35"/>
  <c r="C42" i="35"/>
  <c r="B42" i="35"/>
  <c r="I41" i="35"/>
  <c r="H41" i="35"/>
  <c r="G41" i="35"/>
  <c r="F41" i="35"/>
  <c r="E41" i="35"/>
  <c r="D41" i="35"/>
  <c r="C41" i="35"/>
  <c r="B41" i="35"/>
  <c r="I40" i="35"/>
  <c r="H40" i="35"/>
  <c r="G40" i="35"/>
  <c r="F40" i="35"/>
  <c r="E40" i="35"/>
  <c r="D40" i="35"/>
  <c r="C40" i="35"/>
  <c r="B40" i="35"/>
  <c r="I39" i="35"/>
  <c r="H39" i="35"/>
  <c r="G39" i="35"/>
  <c r="F39" i="35"/>
  <c r="E39" i="35"/>
  <c r="D39" i="35"/>
  <c r="C39" i="35"/>
  <c r="B39" i="35"/>
  <c r="R5" i="35"/>
  <c r="A34" i="35"/>
  <c r="BR32" i="37" l="1"/>
  <c r="BR33" i="37"/>
  <c r="F22" i="38"/>
  <c r="F21" i="38"/>
  <c r="F25" i="38" s="1"/>
  <c r="L22" i="38"/>
  <c r="L21" i="38"/>
  <c r="L25" i="38" s="1"/>
  <c r="H22" i="38"/>
  <c r="H21" i="38"/>
  <c r="H25" i="38" s="1"/>
  <c r="G22" i="38"/>
  <c r="G21" i="38"/>
  <c r="G25" i="38" s="1"/>
  <c r="J21" i="38"/>
  <c r="J25" i="38" s="1"/>
  <c r="J22" i="38"/>
  <c r="G65" i="38"/>
  <c r="J66" i="38"/>
  <c r="G68" i="38"/>
  <c r="G72" i="38"/>
  <c r="G76" i="38"/>
  <c r="G80" i="38"/>
  <c r="G84" i="38"/>
  <c r="G88" i="38"/>
  <c r="S43" i="38"/>
  <c r="I43" i="38"/>
  <c r="J43" i="38" s="1"/>
  <c r="S65" i="38"/>
  <c r="I65" i="38"/>
  <c r="J65" i="38" s="1"/>
  <c r="K22" i="38"/>
  <c r="K21" i="38"/>
  <c r="K25" i="38" s="1"/>
  <c r="E44" i="38"/>
  <c r="G44" i="38" s="1"/>
  <c r="I44" i="38"/>
  <c r="J44" i="38" s="1"/>
  <c r="O67" i="38"/>
  <c r="P66" i="38"/>
  <c r="F66" i="38"/>
  <c r="G66" i="38" s="1"/>
  <c r="G70" i="38"/>
  <c r="G74" i="38"/>
  <c r="G78" i="38"/>
  <c r="G82" i="38"/>
  <c r="G86" i="38"/>
  <c r="G90" i="38"/>
  <c r="E106" i="38"/>
  <c r="G106" i="38" s="1"/>
  <c r="S108" i="38"/>
  <c r="E21" i="38"/>
  <c r="E25" i="38" s="1"/>
  <c r="I21" i="38"/>
  <c r="I25" i="38" s="1"/>
  <c r="E22" i="38"/>
  <c r="I22" i="38"/>
  <c r="P108" i="38"/>
  <c r="I109" i="38"/>
  <c r="H112" i="38"/>
  <c r="J112" i="38" s="1"/>
  <c r="BI36" i="37"/>
  <c r="BI37" i="37"/>
  <c r="BI40" i="37"/>
  <c r="BI41" i="37"/>
  <c r="E12" i="37"/>
  <c r="M12" i="37"/>
  <c r="U12" i="37"/>
  <c r="AC12" i="37"/>
  <c r="AK12" i="37"/>
  <c r="AS12" i="37"/>
  <c r="E13" i="37"/>
  <c r="M13" i="37"/>
  <c r="U13" i="37"/>
  <c r="AC13" i="37"/>
  <c r="AK13" i="37"/>
  <c r="AS13" i="37"/>
  <c r="E16" i="37"/>
  <c r="M16" i="37"/>
  <c r="U16" i="37"/>
  <c r="AC16" i="37"/>
  <c r="AK16" i="37"/>
  <c r="AS16" i="37"/>
  <c r="E17" i="37"/>
  <c r="M17" i="37"/>
  <c r="U17" i="37"/>
  <c r="AC17" i="37"/>
  <c r="AK17" i="37"/>
  <c r="AS17" i="37"/>
  <c r="E20" i="37"/>
  <c r="M20" i="37"/>
  <c r="U20" i="37"/>
  <c r="AC20" i="37"/>
  <c r="AK20" i="37"/>
  <c r="AS20" i="37"/>
  <c r="E21" i="37"/>
  <c r="M21" i="37"/>
  <c r="U21" i="37"/>
  <c r="AC21" i="37"/>
  <c r="AK21" i="37"/>
  <c r="AS21" i="37"/>
  <c r="E24" i="37"/>
  <c r="M24" i="37"/>
  <c r="U24" i="37"/>
  <c r="AC24" i="37"/>
  <c r="AK24" i="37"/>
  <c r="AS24" i="37"/>
  <c r="E25" i="37"/>
  <c r="M25" i="37"/>
  <c r="U25" i="37"/>
  <c r="AC25" i="37"/>
  <c r="AK25" i="37"/>
  <c r="AS25" i="37"/>
  <c r="E28" i="37"/>
  <c r="M28" i="37"/>
  <c r="U28" i="37"/>
  <c r="AC28" i="37"/>
  <c r="AK28" i="37"/>
  <c r="AS28" i="37"/>
  <c r="E29" i="37"/>
  <c r="M29" i="37"/>
  <c r="U29" i="37"/>
  <c r="AC29" i="37"/>
  <c r="AK29" i="37"/>
  <c r="AS29" i="37"/>
  <c r="E9" i="37"/>
  <c r="M9" i="37"/>
  <c r="U9" i="37"/>
  <c r="AC9" i="37"/>
  <c r="AK9" i="37"/>
  <c r="AS9" i="37"/>
  <c r="BI9" i="37"/>
  <c r="BI12" i="37"/>
  <c r="BI13" i="37"/>
  <c r="BI16" i="37"/>
  <c r="BI17" i="37"/>
  <c r="BI20" i="37"/>
  <c r="BI21" i="37"/>
  <c r="BI24" i="37"/>
  <c r="BI25" i="37"/>
  <c r="BI28" i="37"/>
  <c r="E32" i="37"/>
  <c r="M32" i="37"/>
  <c r="U32" i="37"/>
  <c r="AC32" i="37"/>
  <c r="AK32" i="37"/>
  <c r="AS32" i="37"/>
  <c r="P67" i="38" l="1"/>
  <c r="F67" i="38"/>
  <c r="G67" i="38" s="1"/>
  <c r="E38" i="4" l="1"/>
  <c r="F38" i="4" s="1"/>
  <c r="E38" i="1"/>
  <c r="E8" i="1"/>
  <c r="E10" i="1"/>
  <c r="E12" i="1"/>
  <c r="E14" i="1"/>
  <c r="E16" i="1"/>
  <c r="E18" i="1"/>
  <c r="E20" i="1"/>
  <c r="E22" i="1"/>
  <c r="E30" i="1"/>
  <c r="E32" i="1"/>
  <c r="E34" i="1"/>
  <c r="E36" i="1"/>
  <c r="E40" i="1"/>
  <c r="F38" i="1"/>
  <c r="AH52" i="33"/>
  <c r="AD52" i="33"/>
  <c r="AA52" i="33"/>
  <c r="X52" i="33"/>
  <c r="S52" i="33"/>
  <c r="N52" i="33"/>
  <c r="I52" i="33"/>
  <c r="F52" i="33"/>
  <c r="AI50" i="33"/>
  <c r="AF50" i="33"/>
  <c r="AE50" i="33"/>
  <c r="AA50" i="33"/>
  <c r="Y50" i="33"/>
  <c r="W50" i="33"/>
  <c r="R50" i="33"/>
  <c r="P50" i="33"/>
  <c r="O50" i="33"/>
  <c r="K50" i="33"/>
  <c r="G50" i="33"/>
  <c r="AJ48" i="33"/>
  <c r="AG48" i="33"/>
  <c r="AB48" i="33"/>
  <c r="AO48" i="33" s="1"/>
  <c r="AP48" i="33" s="1"/>
  <c r="Z48" i="33"/>
  <c r="T48" i="33"/>
  <c r="L48" i="33"/>
  <c r="E48" i="33"/>
  <c r="H48" i="33" s="1"/>
  <c r="AJ47" i="33"/>
  <c r="AG47" i="33"/>
  <c r="AB47" i="33"/>
  <c r="AC47" i="33" s="1"/>
  <c r="Z47" i="33"/>
  <c r="Z50" i="33" s="1"/>
  <c r="T47" i="33"/>
  <c r="L47" i="33"/>
  <c r="M47" i="33" s="1"/>
  <c r="H47" i="33"/>
  <c r="E47" i="33"/>
  <c r="U47" i="33" s="1"/>
  <c r="AE43" i="33"/>
  <c r="AA43" i="33"/>
  <c r="Z43" i="33"/>
  <c r="Y43" i="33"/>
  <c r="R43" i="33"/>
  <c r="Q43" i="33"/>
  <c r="P43" i="33"/>
  <c r="O43" i="33"/>
  <c r="K43" i="33"/>
  <c r="J43" i="33"/>
  <c r="G43" i="33"/>
  <c r="E43" i="33"/>
  <c r="AI41" i="33"/>
  <c r="AF41" i="33"/>
  <c r="AO41" i="33" s="1"/>
  <c r="T41" i="33"/>
  <c r="U41" i="33" s="1"/>
  <c r="L41" i="33"/>
  <c r="M41" i="33" s="1"/>
  <c r="H41" i="33"/>
  <c r="W41" i="33" s="1"/>
  <c r="AI40" i="33"/>
  <c r="AF40" i="33"/>
  <c r="AO40" i="33" s="1"/>
  <c r="Z40" i="33"/>
  <c r="T40" i="33"/>
  <c r="U40" i="33" s="1"/>
  <c r="L40" i="33"/>
  <c r="M40" i="33" s="1"/>
  <c r="H40" i="33"/>
  <c r="AI39" i="33"/>
  <c r="AF39" i="33"/>
  <c r="T39" i="33"/>
  <c r="M39" i="33"/>
  <c r="L39" i="33"/>
  <c r="H39" i="33"/>
  <c r="AO38" i="33"/>
  <c r="AI38" i="33"/>
  <c r="AF38" i="33"/>
  <c r="T38" i="33"/>
  <c r="U38" i="33" s="1"/>
  <c r="L38" i="33"/>
  <c r="M38" i="33" s="1"/>
  <c r="H38" i="33"/>
  <c r="AI37" i="33"/>
  <c r="AF37" i="33"/>
  <c r="T37" i="33"/>
  <c r="L37" i="33"/>
  <c r="M37" i="33" s="1"/>
  <c r="H37" i="33"/>
  <c r="AI36" i="33"/>
  <c r="AF36" i="33"/>
  <c r="AO36" i="33" s="1"/>
  <c r="AP36" i="33" s="1"/>
  <c r="U36" i="33"/>
  <c r="T36" i="33"/>
  <c r="L36" i="33"/>
  <c r="M36" i="33" s="1"/>
  <c r="H36" i="33"/>
  <c r="W36" i="33" s="1"/>
  <c r="AI35" i="33"/>
  <c r="AF35" i="33"/>
  <c r="AO35" i="33" s="1"/>
  <c r="T35" i="33"/>
  <c r="L35" i="33"/>
  <c r="M35" i="33" s="1"/>
  <c r="H35" i="33"/>
  <c r="AI34" i="33"/>
  <c r="AF34" i="33"/>
  <c r="T34" i="33"/>
  <c r="U34" i="33" s="1"/>
  <c r="L34" i="33"/>
  <c r="M34" i="33" s="1"/>
  <c r="H34" i="33"/>
  <c r="AI33" i="33"/>
  <c r="AF33" i="33"/>
  <c r="AO33" i="33" s="1"/>
  <c r="U33" i="33"/>
  <c r="T33" i="33"/>
  <c r="L33" i="33"/>
  <c r="M33" i="33" s="1"/>
  <c r="H33" i="33"/>
  <c r="AI32" i="33"/>
  <c r="AF32" i="33"/>
  <c r="AO32" i="33" s="1"/>
  <c r="U32" i="33"/>
  <c r="T32" i="33"/>
  <c r="L32" i="33"/>
  <c r="H32" i="33"/>
  <c r="W32" i="33" s="1"/>
  <c r="AM32" i="33" s="1"/>
  <c r="AI31" i="33"/>
  <c r="AF31" i="33"/>
  <c r="T31" i="33"/>
  <c r="W31" i="33" s="1"/>
  <c r="AM31" i="33" s="1"/>
  <c r="M31" i="33"/>
  <c r="L31" i="33"/>
  <c r="H31" i="33"/>
  <c r="AE24" i="33"/>
  <c r="AE52" i="33" s="1"/>
  <c r="AA24" i="33"/>
  <c r="AM24" i="33"/>
  <c r="R24" i="33"/>
  <c r="R52" i="33" s="1"/>
  <c r="Q24" i="33"/>
  <c r="P24" i="33"/>
  <c r="O24" i="33"/>
  <c r="K24" i="33"/>
  <c r="J24" i="33"/>
  <c r="G24" i="33"/>
  <c r="AV22" i="33"/>
  <c r="AU22" i="33"/>
  <c r="AG22" i="33"/>
  <c r="AC22" i="33"/>
  <c r="T22" i="33"/>
  <c r="U22" i="33" s="1"/>
  <c r="L22" i="33"/>
  <c r="E22" i="33"/>
  <c r="H22" i="33" s="1"/>
  <c r="AV21" i="33"/>
  <c r="AW21" i="33" s="1"/>
  <c r="AU21" i="33"/>
  <c r="AG21" i="33"/>
  <c r="AC21" i="33"/>
  <c r="Z21" i="33"/>
  <c r="T21" i="33"/>
  <c r="L21" i="33"/>
  <c r="E21" i="33"/>
  <c r="H21" i="33" s="1"/>
  <c r="AV20" i="33"/>
  <c r="AW20" i="33" s="1"/>
  <c r="AU20" i="33"/>
  <c r="AG20" i="33"/>
  <c r="AC20" i="33"/>
  <c r="Z20" i="33"/>
  <c r="T20" i="33"/>
  <c r="L20" i="33"/>
  <c r="M20" i="33" s="1"/>
  <c r="H20" i="33"/>
  <c r="E20" i="33"/>
  <c r="AV19" i="33"/>
  <c r="AU19" i="33"/>
  <c r="AG19" i="33"/>
  <c r="AC19" i="33"/>
  <c r="Z19" i="33"/>
  <c r="T19" i="33"/>
  <c r="U19" i="33" s="1"/>
  <c r="L19" i="33"/>
  <c r="M19" i="33" s="1"/>
  <c r="H19" i="33"/>
  <c r="E19" i="33"/>
  <c r="AV18" i="33"/>
  <c r="AW18" i="33" s="1"/>
  <c r="AU18" i="33"/>
  <c r="AG18" i="33"/>
  <c r="AC18" i="33"/>
  <c r="T18" i="33"/>
  <c r="L18" i="33"/>
  <c r="E18" i="33"/>
  <c r="H18" i="33" s="1"/>
  <c r="AV17" i="33"/>
  <c r="AU17" i="33"/>
  <c r="AG17" i="33"/>
  <c r="AC17" i="33"/>
  <c r="T17" i="33"/>
  <c r="U17" i="33" s="1"/>
  <c r="L17" i="33"/>
  <c r="M17" i="33" s="1"/>
  <c r="H17" i="33"/>
  <c r="E17" i="33"/>
  <c r="AV10" i="33"/>
  <c r="AU10" i="33"/>
  <c r="AW10" i="33" s="1"/>
  <c r="AG10" i="33"/>
  <c r="AC10" i="33"/>
  <c r="Z10" i="33"/>
  <c r="T10" i="33"/>
  <c r="U10" i="33" s="1"/>
  <c r="L10" i="33"/>
  <c r="E10" i="33"/>
  <c r="AV9" i="33"/>
  <c r="AU9" i="33"/>
  <c r="AW9" i="33" s="1"/>
  <c r="AG9" i="33"/>
  <c r="AC9" i="33"/>
  <c r="Z9" i="33"/>
  <c r="Y9" i="33"/>
  <c r="Y24" i="33" s="1"/>
  <c r="Y52" i="33" s="1"/>
  <c r="T9" i="33"/>
  <c r="L9" i="33"/>
  <c r="E9" i="33"/>
  <c r="H9" i="33" s="1"/>
  <c r="AB41" i="33" l="1"/>
  <c r="AC41" i="33" s="1"/>
  <c r="AM41" i="33"/>
  <c r="AJ35" i="33"/>
  <c r="E50" i="33"/>
  <c r="Z24" i="33"/>
  <c r="Z52" i="33" s="1"/>
  <c r="U21" i="33"/>
  <c r="M22" i="33"/>
  <c r="W34" i="33"/>
  <c r="W37" i="33"/>
  <c r="W40" i="33"/>
  <c r="AM40" i="33" s="1"/>
  <c r="O52" i="33"/>
  <c r="L50" i="33"/>
  <c r="AG50" i="33"/>
  <c r="AM50" i="33"/>
  <c r="AB36" i="33"/>
  <c r="AC36" i="33" s="1"/>
  <c r="AM36" i="33"/>
  <c r="AP41" i="33"/>
  <c r="AG24" i="33"/>
  <c r="AJ37" i="33"/>
  <c r="AG41" i="33"/>
  <c r="M48" i="33"/>
  <c r="AC48" i="33"/>
  <c r="G52" i="33"/>
  <c r="U20" i="33"/>
  <c r="M21" i="33"/>
  <c r="AO34" i="33"/>
  <c r="AP34" i="33" s="1"/>
  <c r="W35" i="33"/>
  <c r="W38" i="33"/>
  <c r="AP38" i="33" s="1"/>
  <c r="T50" i="33"/>
  <c r="AB50" i="33"/>
  <c r="AB52" i="33" s="1"/>
  <c r="M10" i="33"/>
  <c r="AW19" i="33"/>
  <c r="T24" i="33"/>
  <c r="AW22" i="33"/>
  <c r="AF52" i="33"/>
  <c r="AC24" i="33"/>
  <c r="AP18" i="33"/>
  <c r="AJ18" i="33"/>
  <c r="AP22" i="33"/>
  <c r="AJ22" i="33"/>
  <c r="AJ10" i="33"/>
  <c r="AP10" i="33"/>
  <c r="AP20" i="33"/>
  <c r="AJ20" i="33"/>
  <c r="AB32" i="33"/>
  <c r="AC32" i="33" s="1"/>
  <c r="AG32" i="33"/>
  <c r="AG36" i="33"/>
  <c r="AJ19" i="33"/>
  <c r="AP19" i="33"/>
  <c r="AP21" i="33"/>
  <c r="AJ21" i="33"/>
  <c r="AP32" i="33"/>
  <c r="U18" i="33"/>
  <c r="E24" i="33"/>
  <c r="E52" i="33" s="1"/>
  <c r="AG31" i="33"/>
  <c r="AJ34" i="33"/>
  <c r="T43" i="33"/>
  <c r="U43" i="33" s="1"/>
  <c r="M50" i="33"/>
  <c r="AC50" i="33"/>
  <c r="AJ50" i="33"/>
  <c r="U9" i="33"/>
  <c r="H10" i="33"/>
  <c r="H24" i="33" s="1"/>
  <c r="H43" i="33"/>
  <c r="U31" i="33"/>
  <c r="AI43" i="33"/>
  <c r="L43" i="33"/>
  <c r="M43" i="33" s="1"/>
  <c r="AJ32" i="33"/>
  <c r="AO37" i="33"/>
  <c r="AP37" i="33" s="1"/>
  <c r="W39" i="33"/>
  <c r="U39" i="33"/>
  <c r="U50" i="33"/>
  <c r="M18" i="33"/>
  <c r="AB31" i="33"/>
  <c r="AJ31" i="33"/>
  <c r="M32" i="33"/>
  <c r="U37" i="33"/>
  <c r="AG40" i="33"/>
  <c r="AJ41" i="33"/>
  <c r="AF43" i="33"/>
  <c r="H50" i="33"/>
  <c r="U48" i="33"/>
  <c r="P52" i="33"/>
  <c r="W52" i="33"/>
  <c r="AM52" i="33" s="1"/>
  <c r="L24" i="33"/>
  <c r="M9" i="33"/>
  <c r="AW17" i="33"/>
  <c r="AV24" i="33"/>
  <c r="AO31" i="33"/>
  <c r="W33" i="33"/>
  <c r="U35" i="33"/>
  <c r="AJ36" i="33"/>
  <c r="AJ38" i="33"/>
  <c r="K52" i="33"/>
  <c r="AO39" i="33"/>
  <c r="AO47" i="33"/>
  <c r="AG52" i="33" l="1"/>
  <c r="AC52" i="33"/>
  <c r="AB33" i="33"/>
  <c r="AC33" i="33" s="1"/>
  <c r="AM33" i="33"/>
  <c r="AB39" i="33"/>
  <c r="AC39" i="33" s="1"/>
  <c r="AM39" i="33"/>
  <c r="M24" i="33"/>
  <c r="AJ40" i="33"/>
  <c r="AM35" i="33"/>
  <c r="AB35" i="33"/>
  <c r="AC35" i="33" s="1"/>
  <c r="AB37" i="33"/>
  <c r="AC37" i="33" s="1"/>
  <c r="AM37" i="33"/>
  <c r="AG35" i="33"/>
  <c r="AP40" i="33"/>
  <c r="AG37" i="33"/>
  <c r="AJ39" i="33"/>
  <c r="AJ33" i="33"/>
  <c r="AB40" i="33"/>
  <c r="AC40" i="33" s="1"/>
  <c r="AB34" i="33"/>
  <c r="AC34" i="33" s="1"/>
  <c r="AM34" i="33"/>
  <c r="AB38" i="33"/>
  <c r="AC38" i="33" s="1"/>
  <c r="AM38" i="33"/>
  <c r="AP35" i="33"/>
  <c r="AG33" i="33"/>
  <c r="AP33" i="33"/>
  <c r="AG38" i="33"/>
  <c r="U24" i="33"/>
  <c r="AG34" i="33"/>
  <c r="L52" i="33"/>
  <c r="AP17" i="33"/>
  <c r="AJ17" i="33"/>
  <c r="W43" i="33"/>
  <c r="AM43" i="33" s="1"/>
  <c r="AW24" i="33"/>
  <c r="AO50" i="33"/>
  <c r="AP50" i="33" s="1"/>
  <c r="AP47" i="33"/>
  <c r="AP31" i="33"/>
  <c r="AO43" i="33"/>
  <c r="AP43" i="33" s="1"/>
  <c r="H52" i="33"/>
  <c r="T52" i="33"/>
  <c r="U52" i="33" s="1"/>
  <c r="AG39" i="33"/>
  <c r="AJ9" i="33"/>
  <c r="AP39" i="33"/>
  <c r="AG43" i="33"/>
  <c r="AC31" i="33"/>
  <c r="AJ43" i="33"/>
  <c r="M52" i="33"/>
  <c r="AB43" i="33" l="1"/>
  <c r="AC43" i="33" s="1"/>
  <c r="AI52" i="33"/>
  <c r="AJ52" i="33" s="1"/>
  <c r="AJ24" i="33"/>
  <c r="AP9" i="33"/>
  <c r="AP24" i="33" l="1"/>
  <c r="AO52" i="33"/>
  <c r="AP52" i="33" s="1"/>
  <c r="G70" i="30" l="1"/>
  <c r="G69" i="30"/>
  <c r="G68" i="30"/>
  <c r="G67" i="30"/>
  <c r="G2" i="30"/>
  <c r="U143" i="13" l="1"/>
  <c r="T143" i="13"/>
  <c r="S143" i="13"/>
  <c r="R143" i="13"/>
  <c r="Q143" i="13"/>
  <c r="P143" i="13"/>
  <c r="O143" i="13"/>
  <c r="N143" i="13"/>
  <c r="M143" i="13"/>
  <c r="L143" i="13"/>
  <c r="K143" i="13"/>
  <c r="J143" i="13"/>
  <c r="I143" i="13"/>
  <c r="H143" i="13"/>
  <c r="G143" i="13"/>
  <c r="F143" i="13"/>
  <c r="E143" i="13"/>
  <c r="D143" i="13"/>
  <c r="AE132" i="13"/>
  <c r="AD132" i="13"/>
  <c r="AC132" i="13"/>
  <c r="AB132" i="13"/>
  <c r="AA132" i="13"/>
  <c r="Z132" i="13"/>
  <c r="Y132" i="13"/>
  <c r="X132" i="13"/>
  <c r="W132" i="13"/>
  <c r="V132" i="13"/>
  <c r="U132" i="13"/>
  <c r="T132" i="13"/>
  <c r="S132" i="13"/>
  <c r="R132" i="13"/>
  <c r="Q132" i="13"/>
  <c r="P132" i="13"/>
  <c r="O132" i="13"/>
  <c r="N132" i="13"/>
  <c r="M132" i="13"/>
  <c r="L132" i="13"/>
  <c r="K132" i="13"/>
  <c r="J132" i="13"/>
  <c r="I132" i="13"/>
  <c r="H132" i="13"/>
  <c r="G132" i="13"/>
  <c r="F132" i="13"/>
  <c r="E132" i="13"/>
  <c r="D132" i="13"/>
  <c r="C13" i="26" l="1"/>
  <c r="C12" i="26"/>
  <c r="C11" i="26"/>
  <c r="C10" i="26"/>
  <c r="C24" i="26" l="1"/>
  <c r="C9" i="26" s="1"/>
  <c r="AE143" i="13" l="1"/>
  <c r="C52" i="26" l="1"/>
  <c r="D51" i="26" s="1"/>
  <c r="C49" i="26"/>
  <c r="D47" i="26" s="1"/>
  <c r="E47" i="26"/>
  <c r="E51" i="26" s="1"/>
  <c r="C45" i="26"/>
  <c r="D44" i="26" s="1"/>
  <c r="E43" i="26"/>
  <c r="C41" i="26"/>
  <c r="D40" i="26" s="1"/>
  <c r="C38" i="26"/>
  <c r="D37" i="26" s="1"/>
  <c r="E37" i="26"/>
  <c r="E33" i="26"/>
  <c r="C31" i="26"/>
  <c r="E30" i="26"/>
  <c r="E26" i="26"/>
  <c r="E24" i="26"/>
  <c r="C22" i="26"/>
  <c r="D48" i="26" l="1"/>
  <c r="D35" i="26"/>
  <c r="D43" i="26"/>
  <c r="D30" i="26"/>
  <c r="D33" i="26"/>
  <c r="D36" i="26"/>
  <c r="D34" i="26"/>
  <c r="C28" i="26"/>
  <c r="D26" i="26" l="1"/>
  <c r="D27" i="26"/>
  <c r="D25" i="26"/>
  <c r="D24" i="26"/>
  <c r="C14" i="26"/>
  <c r="D9" i="26" s="1"/>
  <c r="V143" i="13"/>
  <c r="W143" i="13"/>
  <c r="X143" i="13"/>
  <c r="Y143" i="13"/>
  <c r="D12" i="26" l="1"/>
  <c r="D13" i="26"/>
  <c r="D10" i="26"/>
  <c r="D11" i="26"/>
  <c r="D14" i="26" l="1"/>
  <c r="AD143" i="13" l="1"/>
  <c r="AC143" i="13"/>
  <c r="F40" i="1" l="1"/>
  <c r="AB143" i="13" l="1"/>
  <c r="E8" i="4" l="1"/>
  <c r="E32" i="4"/>
  <c r="E10" i="4"/>
  <c r="Z143" i="13" l="1"/>
  <c r="AA143" i="13"/>
  <c r="AA59" i="13"/>
  <c r="AA60" i="13" s="1"/>
  <c r="AA55" i="13"/>
  <c r="AA56" i="13" s="1"/>
  <c r="AA51" i="13"/>
  <c r="AA52" i="13" s="1"/>
  <c r="AA47" i="13"/>
  <c r="AA48" i="13" s="1"/>
  <c r="E40" i="4" l="1"/>
  <c r="F40" i="4" s="1"/>
  <c r="E36" i="4"/>
  <c r="E34" i="4"/>
  <c r="E30" i="4"/>
  <c r="E22" i="4"/>
  <c r="F22" i="4" s="1"/>
  <c r="E20" i="4"/>
  <c r="E18" i="4"/>
  <c r="E16" i="4"/>
  <c r="E14" i="4"/>
  <c r="E12" i="4"/>
  <c r="F30" i="1" l="1"/>
  <c r="F34" i="1"/>
  <c r="F36" i="1"/>
  <c r="F20" i="4"/>
  <c r="F18" i="4"/>
  <c r="F16" i="4"/>
  <c r="F14" i="4"/>
  <c r="F12" i="4"/>
  <c r="F10" i="4"/>
  <c r="F8" i="4"/>
  <c r="D144" i="13"/>
  <c r="F144" i="13"/>
  <c r="E144" i="13"/>
  <c r="F133" i="13"/>
  <c r="E133" i="13"/>
  <c r="D133" i="13"/>
  <c r="Q121" i="13"/>
  <c r="P121" i="13"/>
  <c r="O121" i="13"/>
  <c r="N121" i="13"/>
  <c r="M121" i="13"/>
  <c r="L121" i="13"/>
  <c r="K121" i="13"/>
  <c r="J121" i="13"/>
  <c r="I121" i="13"/>
  <c r="H121" i="13"/>
  <c r="G121" i="13"/>
  <c r="F121" i="13"/>
  <c r="T88" i="13"/>
  <c r="S88" i="13"/>
  <c r="R88" i="13"/>
  <c r="Q88" i="13"/>
  <c r="P88" i="13"/>
  <c r="O88" i="13"/>
  <c r="N88" i="13"/>
  <c r="M88" i="13"/>
  <c r="L88" i="13"/>
  <c r="K88" i="13"/>
  <c r="J88" i="13"/>
  <c r="I88" i="13"/>
  <c r="H88" i="13"/>
  <c r="G88" i="13"/>
  <c r="F88" i="13"/>
  <c r="J82" i="13"/>
  <c r="K82" i="13" s="1"/>
  <c r="M61" i="13"/>
  <c r="L61" i="13"/>
  <c r="W60" i="13"/>
  <c r="T60" i="13"/>
  <c r="S60" i="13"/>
  <c r="R60" i="13"/>
  <c r="Q60" i="13"/>
  <c r="Z59" i="13"/>
  <c r="Z60" i="13" s="1"/>
  <c r="T57" i="13"/>
  <c r="X56" i="13"/>
  <c r="W56" i="13"/>
  <c r="V56" i="13"/>
  <c r="U56" i="13"/>
  <c r="T56" i="13"/>
  <c r="S56" i="13"/>
  <c r="R56" i="13"/>
  <c r="Q56" i="13"/>
  <c r="Z55" i="13"/>
  <c r="Z56" i="13" s="1"/>
  <c r="T53" i="13"/>
  <c r="W52" i="13"/>
  <c r="T52" i="13"/>
  <c r="S52" i="13"/>
  <c r="R52" i="13"/>
  <c r="Q52" i="13"/>
  <c r="Z51" i="13"/>
  <c r="Z52" i="13" s="1"/>
  <c r="T49" i="13"/>
  <c r="X48" i="13"/>
  <c r="W48" i="13"/>
  <c r="V48" i="13"/>
  <c r="T48" i="13"/>
  <c r="S48" i="13"/>
  <c r="R48" i="13"/>
  <c r="Q48" i="13"/>
  <c r="Z47" i="13"/>
  <c r="Z48" i="13" s="1"/>
  <c r="Q38" i="13"/>
  <c r="M38" i="13"/>
  <c r="L38" i="13"/>
  <c r="Q37" i="13"/>
  <c r="Q32" i="13"/>
  <c r="Q33" i="13" s="1"/>
  <c r="Q23" i="13"/>
  <c r="P23" i="13"/>
  <c r="U21" i="13"/>
  <c r="T21" i="13"/>
  <c r="S21" i="13"/>
  <c r="R21" i="13"/>
  <c r="Q21" i="13"/>
  <c r="P21" i="13"/>
  <c r="D21" i="13"/>
  <c r="O19" i="13"/>
  <c r="O23" i="13" s="1"/>
  <c r="N19" i="13"/>
  <c r="N21" i="13" s="1"/>
  <c r="M19" i="13"/>
  <c r="M23" i="13" s="1"/>
  <c r="L19" i="13"/>
  <c r="L21" i="13" s="1"/>
  <c r="K19" i="13"/>
  <c r="J19" i="13"/>
  <c r="I19" i="13"/>
  <c r="I21" i="13" s="1"/>
  <c r="H19" i="13"/>
  <c r="H21" i="13" s="1"/>
  <c r="G19" i="13"/>
  <c r="G21" i="13" s="1"/>
  <c r="F19" i="13"/>
  <c r="F21" i="13" s="1"/>
  <c r="E19" i="13"/>
  <c r="E21" i="13" s="1"/>
  <c r="U10" i="13"/>
  <c r="T10" i="13"/>
  <c r="S10" i="13"/>
  <c r="R10" i="13"/>
  <c r="Q10" i="13"/>
  <c r="P10" i="13"/>
  <c r="O10" i="13"/>
  <c r="N10" i="13"/>
  <c r="M10" i="13"/>
  <c r="L10" i="13"/>
  <c r="K10" i="13"/>
  <c r="J10" i="13"/>
  <c r="D10" i="13"/>
  <c r="I10" i="13"/>
  <c r="H10" i="13"/>
  <c r="G8" i="13"/>
  <c r="G10" i="13" s="1"/>
  <c r="F10" i="13"/>
  <c r="E10" i="13"/>
  <c r="T61" i="13" l="1"/>
  <c r="M21" i="13"/>
  <c r="O21" i="13"/>
  <c r="L23" i="13"/>
  <c r="N23" i="13"/>
  <c r="F36" i="4" l="1"/>
  <c r="F34" i="4"/>
  <c r="F32" i="4"/>
  <c r="F30" i="4"/>
  <c r="F22" i="1"/>
  <c r="F20" i="1"/>
  <c r="F18" i="1"/>
  <c r="F16" i="1"/>
  <c r="F14" i="1"/>
  <c r="F12" i="1"/>
  <c r="F8" i="1"/>
  <c r="F10" i="1" l="1"/>
  <c r="F32" i="1"/>
  <c r="D21" i="26"/>
</calcChain>
</file>

<file path=xl/comments1.xml><?xml version="1.0" encoding="utf-8"?>
<comments xmlns="http://schemas.openxmlformats.org/spreadsheetml/2006/main">
  <authors>
    <author>brad mortensen</author>
  </authors>
  <commentList>
    <comment ref="I129" authorId="0" shapeId="0">
      <text>
        <r>
          <rPr>
            <b/>
            <sz val="8"/>
            <color indexed="81"/>
            <rFont val="Tahoma"/>
            <family val="2"/>
          </rPr>
          <t>brad mortensen:</t>
        </r>
        <r>
          <rPr>
            <sz val="8"/>
            <color indexed="81"/>
            <rFont val="Tahoma"/>
            <family val="2"/>
          </rPr>
          <t xml:space="preserve">
Bob Huddleston questioned this, but I checked the Data Books and it appears correct. </t>
        </r>
      </text>
    </comment>
  </commentList>
</comments>
</file>

<file path=xl/comments2.xml><?xml version="1.0" encoding="utf-8"?>
<comments xmlns="http://schemas.openxmlformats.org/spreadsheetml/2006/main">
  <authors>
    <author>Paul Morris</author>
    <author>Amber Locher</author>
  </authors>
  <commentList>
    <comment ref="K27" authorId="0" shapeId="0">
      <text>
        <r>
          <rPr>
            <b/>
            <sz val="8"/>
            <color indexed="81"/>
            <rFont val="Tahoma"/>
            <family val="2"/>
          </rPr>
          <t>Paul Morris:</t>
        </r>
        <r>
          <rPr>
            <sz val="8"/>
            <color indexed="81"/>
            <rFont val="Tahoma"/>
            <family val="2"/>
          </rPr>
          <t xml:space="preserve">
U Tables $6763
WICHE $6798</t>
        </r>
      </text>
    </comment>
    <comment ref="AI27" authorId="0" shapeId="0">
      <text>
        <r>
          <rPr>
            <b/>
            <sz val="8"/>
            <color indexed="81"/>
            <rFont val="Tahoma"/>
            <family val="2"/>
          </rPr>
          <t>Paul Morris:</t>
        </r>
        <r>
          <rPr>
            <sz val="8"/>
            <color indexed="81"/>
            <rFont val="Tahoma"/>
            <family val="2"/>
          </rPr>
          <t xml:space="preserve">
U Tables 21388
WICHE 21516
</t>
        </r>
      </text>
    </comment>
    <comment ref="K84" authorId="0" shapeId="0">
      <text>
        <r>
          <rPr>
            <b/>
            <sz val="8"/>
            <color indexed="81"/>
            <rFont val="Tahoma"/>
            <family val="2"/>
          </rPr>
          <t>Paul Morris:</t>
        </r>
        <r>
          <rPr>
            <sz val="8"/>
            <color indexed="81"/>
            <rFont val="Tahoma"/>
            <family val="2"/>
          </rPr>
          <t xml:space="preserve">
$4547 Weber Tables$4507 WICHE
</t>
        </r>
      </text>
    </comment>
    <comment ref="AI315" authorId="1" shapeId="0">
      <text>
        <r>
          <rPr>
            <b/>
            <sz val="9"/>
            <color indexed="81"/>
            <rFont val="Tahoma"/>
            <family val="2"/>
          </rPr>
          <t>Amber Locher:</t>
        </r>
        <r>
          <rPr>
            <sz val="9"/>
            <color indexed="81"/>
            <rFont val="Tahoma"/>
            <family val="2"/>
          </rPr>
          <t xml:space="preserve">
FY 11-12
WICHE table figure: 8,730</t>
        </r>
      </text>
    </comment>
  </commentList>
</comments>
</file>

<file path=xl/comments3.xml><?xml version="1.0" encoding="utf-8"?>
<comments xmlns="http://schemas.openxmlformats.org/spreadsheetml/2006/main">
  <authors>
    <author>Jillana AhLoe</author>
  </authors>
  <commentList>
    <comment ref="BZ9" authorId="0" shapeId="0">
      <text>
        <r>
          <rPr>
            <b/>
            <sz val="9"/>
            <color indexed="81"/>
            <rFont val="Tahoma"/>
            <family val="2"/>
          </rPr>
          <t>Jillana AhLoe:</t>
        </r>
        <r>
          <rPr>
            <sz val="9"/>
            <color indexed="81"/>
            <rFont val="Tahoma"/>
            <family val="2"/>
          </rPr>
          <t xml:space="preserve">
Added $60 Student Life Center fee.</t>
        </r>
      </text>
    </comment>
  </commentList>
</comments>
</file>

<file path=xl/comments4.xml><?xml version="1.0" encoding="utf-8"?>
<comments xmlns="http://schemas.openxmlformats.org/spreadsheetml/2006/main">
  <authors>
    <author>brad mortensen</author>
  </authors>
  <commentList>
    <comment ref="I11" authorId="0" shapeId="0">
      <text>
        <r>
          <rPr>
            <b/>
            <sz val="8"/>
            <color indexed="81"/>
            <rFont val="Tahoma"/>
            <family val="2"/>
          </rPr>
          <t>brad mortensen:</t>
        </r>
        <r>
          <rPr>
            <sz val="8"/>
            <color indexed="81"/>
            <rFont val="Tahoma"/>
            <family val="2"/>
          </rPr>
          <t xml:space="preserve">
Bob Huddleston questioned this, but I checked the Data Books and it appears correct. </t>
        </r>
      </text>
    </comment>
  </commentList>
</comments>
</file>

<file path=xl/sharedStrings.xml><?xml version="1.0" encoding="utf-8"?>
<sst xmlns="http://schemas.openxmlformats.org/spreadsheetml/2006/main" count="3710" uniqueCount="1012">
  <si>
    <t>Utah System of Higher Education</t>
  </si>
  <si>
    <t>Institution</t>
  </si>
  <si>
    <t>Type of Student</t>
  </si>
  <si>
    <t>Utah Resident Undergraduate Students</t>
  </si>
  <si>
    <t>Utah Resident Undergraduate</t>
  </si>
  <si>
    <t>WSU</t>
  </si>
  <si>
    <t>SUU</t>
  </si>
  <si>
    <t>Snow</t>
  </si>
  <si>
    <t>UVU</t>
  </si>
  <si>
    <t>SLCC</t>
  </si>
  <si>
    <t>Proposed Percentage Change</t>
  </si>
  <si>
    <t>Non-Resident Undergraduate Students</t>
  </si>
  <si>
    <t>Non-Resident Undergraduate</t>
  </si>
  <si>
    <t>Non-Resident Graduate Students</t>
  </si>
  <si>
    <t>Utah Resident Undergraduate (Logan/RCDE)</t>
  </si>
  <si>
    <t>Utah Resident Undergraduate (Lower Div.)</t>
  </si>
  <si>
    <t>Non-Resident Undergraduate (Logan/RCDE)</t>
  </si>
  <si>
    <t>Non-Resident Undergraduate (Lower Div.)</t>
  </si>
  <si>
    <t>USU</t>
  </si>
  <si>
    <t>Non-Resident Graduate (Base Rate)</t>
  </si>
  <si>
    <t>Non-Resident Graduate (Logan/RCDE)</t>
  </si>
  <si>
    <t>Non-Resident Graduate (MED)</t>
  </si>
  <si>
    <t>Resident Graduate (Base Rate)</t>
  </si>
  <si>
    <t>Resident Graduate (MED)</t>
  </si>
  <si>
    <t>UU</t>
  </si>
  <si>
    <t xml:space="preserve">  Total 1st-Tier Tuition</t>
  </si>
  <si>
    <t>Proposed Use of Revenue</t>
  </si>
  <si>
    <t>All USHE Institutions</t>
  </si>
  <si>
    <t>Resident Undergraduate</t>
  </si>
  <si>
    <t>Non Resident Undergraduate</t>
  </si>
  <si>
    <t>WICHE Avg</t>
  </si>
  <si>
    <t>Rocky Mtn Avg</t>
  </si>
  <si>
    <t>USHE Inst</t>
  </si>
  <si>
    <t>SNOW</t>
  </si>
  <si>
    <t>Resident Graduate</t>
  </si>
  <si>
    <t>Non Resident Graduate</t>
  </si>
  <si>
    <t>Utah Resident Graduate Students</t>
  </si>
  <si>
    <t>Revenue Required</t>
  </si>
  <si>
    <t>Benchmark Inflation and Tuition Increase Information</t>
  </si>
  <si>
    <t>Table 1. General Inflation Indicator</t>
  </si>
  <si>
    <t>7/90 to 
7/91</t>
  </si>
  <si>
    <t>7/91 to 
7/92</t>
  </si>
  <si>
    <t>7/92 to
7/93</t>
  </si>
  <si>
    <t>7/93 to
7/94</t>
  </si>
  <si>
    <t>7/94 to
7/95</t>
  </si>
  <si>
    <t>7/95 to
6/96</t>
  </si>
  <si>
    <t>7/96 to
6/97</t>
  </si>
  <si>
    <t>7/97 to
6/98</t>
  </si>
  <si>
    <t>7/98 to
6/99</t>
  </si>
  <si>
    <t>7/99 to
6/00</t>
  </si>
  <si>
    <t>7/00 to
6/01</t>
  </si>
  <si>
    <t>7/01 to
6/02</t>
  </si>
  <si>
    <t>Most Recent 12-months (January to December)</t>
  </si>
  <si>
    <t>Table 2. Higher Education Inflation Indicator</t>
  </si>
  <si>
    <t>7/90 to
7/91</t>
  </si>
  <si>
    <t>7/91 to
7/92</t>
  </si>
  <si>
    <t>Table 3. Tuition Increase Revenue Impact</t>
  </si>
  <si>
    <t>Change in Ongoing Tax Funds Appropriations &amp; Estimated Impact of Proposed Tuition Increase on Tuition Revenue</t>
  </si>
  <si>
    <t>Appropriated Tax Funds</t>
  </si>
  <si>
    <t>USHE</t>
  </si>
  <si>
    <t>11-12 Ongoing Approp</t>
  </si>
  <si>
    <t>12-13 Ongoing Approp</t>
  </si>
  <si>
    <t>$ Change in Ongoing Approp</t>
  </si>
  <si>
    <t>% Change in Ongoing Budget</t>
  </si>
  <si>
    <t>11-12 Estimated Tuition Budget</t>
  </si>
  <si>
    <t>Est. Revenue w/ 1% Increase</t>
  </si>
  <si>
    <t>Revenue w/ 4% Increase</t>
  </si>
  <si>
    <t>Table 3. Tuition Increase Rate Impact</t>
  </si>
  <si>
    <r>
      <t xml:space="preserve">Impact of 1% Tuition Increase on Full-time Tuition Rates </t>
    </r>
    <r>
      <rPr>
        <sz val="8"/>
        <rFont val="Arial Narrow"/>
        <family val="2"/>
      </rPr>
      <t>(1)</t>
    </r>
  </si>
  <si>
    <t xml:space="preserve">Snow </t>
  </si>
  <si>
    <t>Dixie</t>
  </si>
  <si>
    <t xml:space="preserve">SLCC </t>
  </si>
  <si>
    <t>Multiplier</t>
  </si>
  <si>
    <t>2011-12 Full-time Rate</t>
  </si>
  <si>
    <t>1% Increase</t>
  </si>
  <si>
    <t>4% Increase</t>
  </si>
  <si>
    <r>
      <t xml:space="preserve">Resident Graduate </t>
    </r>
    <r>
      <rPr>
        <b/>
        <vertAlign val="superscript"/>
        <sz val="11"/>
        <rFont val="Arial Narrow"/>
        <family val="2"/>
      </rPr>
      <t>(3), (4)</t>
    </r>
  </si>
  <si>
    <t>Nonresident Undergraduate</t>
  </si>
  <si>
    <r>
      <t xml:space="preserve">Nonresident Graduate </t>
    </r>
    <r>
      <rPr>
        <b/>
        <vertAlign val="superscript"/>
        <sz val="11"/>
        <rFont val="Arial Narrow"/>
        <family val="2"/>
      </rPr>
      <t>(3),  (4)</t>
    </r>
  </si>
  <si>
    <t>(1) Annual tuition amounts 15 credit hours for two semesters for undergraduate, and 10 credit hours for two semesters for graduate.</t>
  </si>
  <si>
    <t>(2) Simple Average.</t>
  </si>
  <si>
    <t>(3) General graduate tuition rates only, differential graduate tuition rates not included. (Weber, SUU &amp; UVU Masters of Education Program)</t>
  </si>
  <si>
    <t xml:space="preserve">(4) Graduate tuitions may be less than undergraduate because a full-time load for a graduate student (10 credits) is less than an undergraduate (15 credits). </t>
  </si>
  <si>
    <t>Table 4. Regional Tuition Indicator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</si>
  <si>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</si>
  <si>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</si>
  <si>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</si>
  <si>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</si>
  <si>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</si>
  <si>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</si>
  <si>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</si>
  <si>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</si>
  <si>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</si>
  <si>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</si>
  <si>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</si>
  <si>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</si>
  <si>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</si>
  <si>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</si>
  <si>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</si>
  <si>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</si>
  <si>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</si>
  <si>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</si>
  <si>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</si>
  <si>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</si>
  <si>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</si>
  <si>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Public Four-year Institutions</t>
  </si>
  <si>
    <t>Resident Undergrad.</t>
  </si>
  <si>
    <t>Nonresident Undergrad.</t>
  </si>
  <si>
    <t>Nonresident Graduate</t>
  </si>
  <si>
    <t>Public Two-year Institutions</t>
  </si>
  <si>
    <t xml:space="preserve">Resident </t>
  </si>
  <si>
    <t xml:space="preserve">Nonresident </t>
  </si>
  <si>
    <t>Table 6. National Tuition Indicator</t>
  </si>
  <si>
    <t>National Average Tuition Increases at Public Institutions, 1999-00 to 2009-10</t>
  </si>
  <si>
    <t>2007-2008</t>
  </si>
  <si>
    <t>2008-2009</t>
  </si>
  <si>
    <t>2009-2010</t>
  </si>
  <si>
    <t>Research Universities</t>
  </si>
  <si>
    <t>THIS REPORT IS NOT AVAIABLE FOR 2010-2011</t>
  </si>
  <si>
    <t xml:space="preserve"> </t>
  </si>
  <si>
    <t>Comprehensive Institutions</t>
  </si>
  <si>
    <t>Community Colleges</t>
  </si>
  <si>
    <t>Resident</t>
  </si>
  <si>
    <t>Nonresident</t>
  </si>
  <si>
    <t>1999-00 through 2008-09 Sources:  Washington Higher Education Coordinating Board.  Tuition and Fee Rates: A National Comparison.  2008-09</t>
  </si>
  <si>
    <t>Table 5. Tuition Increase History</t>
  </si>
  <si>
    <t>90-91</t>
  </si>
  <si>
    <r>
      <t xml:space="preserve">2001-02 </t>
    </r>
    <r>
      <rPr>
        <vertAlign val="superscript"/>
        <sz val="11"/>
        <rFont val="Arial Narrow"/>
        <family val="2"/>
      </rPr>
      <t>(3)</t>
    </r>
  </si>
  <si>
    <t>Resident Increases</t>
  </si>
  <si>
    <r>
      <t xml:space="preserve">USHE Average </t>
    </r>
    <r>
      <rPr>
        <vertAlign val="superscript"/>
        <sz val="11"/>
        <rFont val="Arial Narrow"/>
        <family val="2"/>
      </rPr>
      <t>(1)</t>
    </r>
  </si>
  <si>
    <r>
      <t xml:space="preserve">USHE First-tier only </t>
    </r>
    <r>
      <rPr>
        <vertAlign val="superscript"/>
        <sz val="11"/>
        <rFont val="Arial Narrow"/>
        <family val="2"/>
      </rPr>
      <t>(2)</t>
    </r>
  </si>
  <si>
    <t>Nonresident Increases</t>
  </si>
  <si>
    <t>(1) Simple Average.</t>
  </si>
  <si>
    <t>(3) Percentages represent increases that apply to greatest number of students at the institution, and do not include differential increases for some students or programs.</t>
  </si>
  <si>
    <r>
      <t xml:space="preserve">USHE </t>
    </r>
    <r>
      <rPr>
        <b/>
        <vertAlign val="superscript"/>
        <sz val="11"/>
        <rFont val="Arial Narrow"/>
        <family val="2"/>
      </rPr>
      <t>(2)</t>
    </r>
  </si>
  <si>
    <r>
      <t xml:space="preserve">2002-03 </t>
    </r>
    <r>
      <rPr>
        <b/>
        <vertAlign val="superscript"/>
        <sz val="11"/>
        <rFont val="Arial Narrow"/>
        <family val="2"/>
      </rPr>
      <t>(3)</t>
    </r>
  </si>
  <si>
    <r>
      <t xml:space="preserve">2003-04 </t>
    </r>
    <r>
      <rPr>
        <b/>
        <vertAlign val="superscript"/>
        <sz val="11"/>
        <rFont val="Arial Narrow"/>
        <family val="2"/>
      </rPr>
      <t>(3)</t>
    </r>
  </si>
  <si>
    <t>Annual tuition amount based on 15 credit hours per semester for two semesters</t>
  </si>
  <si>
    <t>Annual tuition amount based on 10 credit hours per semeter for two semesters</t>
  </si>
  <si>
    <t>**Rocky Mountain states include Idaho, Nevada, Arizona, New Mexico, Utah, Colorado, Wyoming &amp; Montana</t>
  </si>
  <si>
    <t xml:space="preserve">        Utah, Colorado, Wyoming, Montana, North Dakota and South Dakota</t>
  </si>
  <si>
    <t xml:space="preserve">*** Non-resident undergraduate tuition and fees based on 15 credit hours per semester for two semesters </t>
  </si>
  <si>
    <t>*WICHE states include Alaska, Hawaii, Washington, Oregon, California, Idaho, Nevada, Arizona, New Mexico</t>
  </si>
  <si>
    <t xml:space="preserve">*** Resident undergraduate tuition and fees based on 15 credit hours per semester for two semesters </t>
  </si>
  <si>
    <t>UofU</t>
  </si>
  <si>
    <t>DSU</t>
  </si>
  <si>
    <t>2012-13</t>
  </si>
  <si>
    <t>Student Support</t>
  </si>
  <si>
    <t>Compensation</t>
  </si>
  <si>
    <t>Attachment 1</t>
  </si>
  <si>
    <t>Attachment 2</t>
  </si>
  <si>
    <t>Attachment 3</t>
  </si>
  <si>
    <t>Fees-Not for Printing</t>
  </si>
  <si>
    <r>
      <t>UofU</t>
    </r>
    <r>
      <rPr>
        <vertAlign val="superscript"/>
        <sz val="11"/>
        <rFont val="Arial Narrow"/>
        <family val="2"/>
      </rPr>
      <t>1</t>
    </r>
  </si>
  <si>
    <t>2013-14</t>
  </si>
  <si>
    <t>Attachment 6</t>
  </si>
  <si>
    <t>Attachment 4</t>
  </si>
  <si>
    <t>Attachment 5</t>
  </si>
  <si>
    <t>2014-15</t>
  </si>
  <si>
    <t xml:space="preserve">Source:  Higher Education Price Index (HEPI), Research Associates of Washington and Common Fund Institute. </t>
  </si>
  <si>
    <t>*WICHE states include Alaska, Hawaii, Washington, Oregon, California, Idaho, Nevada, Arizona, New Mexico, Utah, Colorado, Wyoming, Montana, North Dakota, South Dakota</t>
  </si>
  <si>
    <t>Source: Bureau of Labor Statistics (www.bls.gov). Consumer Price Index for All Urban Consumers..</t>
  </si>
  <si>
    <t xml:space="preserve">Compensation </t>
  </si>
  <si>
    <r>
      <t>1</t>
    </r>
    <r>
      <rPr>
        <sz val="9"/>
        <color theme="1"/>
        <rFont val="Arial Narrow"/>
        <family val="2"/>
      </rPr>
      <t xml:space="preserve"> SAT dollar per clock hour will also increase by $.06, or 3.0%</t>
    </r>
  </si>
  <si>
    <t>HB2: UU College of Nursing</t>
  </si>
  <si>
    <t>HB2: USU Veterinary Medicine Program</t>
  </si>
  <si>
    <t>HB3: USU Graduate Program Support</t>
  </si>
  <si>
    <t>HB2: DSU Implementation</t>
  </si>
  <si>
    <t xml:space="preserve">TOTAL </t>
  </si>
  <si>
    <t>HB2: USU Extension Water Conservation</t>
  </si>
  <si>
    <t>HB155: UU Poison Control</t>
  </si>
  <si>
    <t>HB2: New Century Scholarship</t>
  </si>
  <si>
    <t>HB2: Mission Based Funding - Distinctive Mission</t>
  </si>
  <si>
    <t>HB2: Performance Based Funding</t>
  </si>
  <si>
    <t>HB7: Compensation</t>
  </si>
  <si>
    <t>HB2: Regents' Scholarship</t>
  </si>
  <si>
    <t>HB2: MBF Acute Equity</t>
  </si>
  <si>
    <t>UEN</t>
  </si>
  <si>
    <t>Other</t>
  </si>
  <si>
    <t>Update</t>
  </si>
  <si>
    <t>Subtotal - UCAT</t>
  </si>
  <si>
    <t>Uintah Basin ATC</t>
  </si>
  <si>
    <t>Southwest ATC</t>
  </si>
  <si>
    <t>Salt Lake-Tooele ATC</t>
  </si>
  <si>
    <t>Ogden-Weber ATC</t>
  </si>
  <si>
    <t>Mountainland ATC</t>
  </si>
  <si>
    <t>Dixie ATC</t>
  </si>
  <si>
    <t>Davis ATC</t>
  </si>
  <si>
    <t>Bridgerland ATC</t>
  </si>
  <si>
    <t>Equipment</t>
  </si>
  <si>
    <t>Custom Fit</t>
  </si>
  <si>
    <t>Administration</t>
  </si>
  <si>
    <t>UCAT</t>
  </si>
  <si>
    <t>Subtotal - 2 &amp; 4 year</t>
  </si>
  <si>
    <t>Salt Lake Community College</t>
  </si>
  <si>
    <t>Utah Valley University</t>
  </si>
  <si>
    <t>Dixie State University</t>
  </si>
  <si>
    <t>Snow College</t>
  </si>
  <si>
    <t>Southern Utah University</t>
  </si>
  <si>
    <t>Weber State University</t>
  </si>
  <si>
    <t>Utah State University</t>
  </si>
  <si>
    <t>University of Utah</t>
  </si>
  <si>
    <t>2 &amp; 4 Year Institutions</t>
  </si>
  <si>
    <t>% Change</t>
  </si>
  <si>
    <t>Amount</t>
  </si>
  <si>
    <t xml:space="preserve">General Session 2008 one-time Changes </t>
  </si>
  <si>
    <t xml:space="preserve">General Session 2008 ongoing Cuts </t>
  </si>
  <si>
    <t xml:space="preserve">General Session 2008 ongoing Changes </t>
  </si>
  <si>
    <t>General Session 2008 ongoing Changes for Comp (HB 4)</t>
  </si>
  <si>
    <t>2008-09 Base Adjustments</t>
  </si>
  <si>
    <t>Enrollment 
Growth</t>
  </si>
  <si>
    <t>Other
Transfers</t>
  </si>
  <si>
    <t>Engineering Initiative</t>
  </si>
  <si>
    <t>Cuts</t>
  </si>
  <si>
    <t>2007-08 Net Supplemental Adjustments</t>
  </si>
  <si>
    <t>Additions</t>
  </si>
  <si>
    <r>
      <t xml:space="preserve">2007-08 Ongoing Tax Funds Base Budget </t>
    </r>
    <r>
      <rPr>
        <sz val="10"/>
        <rFont val="Arial Narrow"/>
        <family val="2"/>
      </rPr>
      <t>(2008 Session)</t>
    </r>
  </si>
  <si>
    <t>Back out 1-time Funds</t>
  </si>
  <si>
    <r>
      <t xml:space="preserve">2009-10 Original Tax Funds Base Budget - </t>
    </r>
    <r>
      <rPr>
        <sz val="10"/>
        <rFont val="Arial Narrow"/>
        <family val="2"/>
      </rPr>
      <t>Ongoing and One-time (2009 Session)</t>
    </r>
  </si>
  <si>
    <t xml:space="preserve">(c) </t>
  </si>
  <si>
    <t>(b)</t>
  </si>
  <si>
    <t>(a)</t>
  </si>
  <si>
    <t xml:space="preserve">Utah System of Higher Education </t>
  </si>
  <si>
    <t>Attachment 8</t>
  </si>
  <si>
    <t>2015-16</t>
  </si>
  <si>
    <t>Instructional Support</t>
  </si>
  <si>
    <t>Operation and Maintenance</t>
  </si>
  <si>
    <t>Promotion &amp; Tenure</t>
  </si>
  <si>
    <t>Faculty Rank Advancements</t>
  </si>
  <si>
    <t>2016-17</t>
  </si>
  <si>
    <t>Fiscal Year Increase</t>
  </si>
  <si>
    <t>Fiscal Year Average</t>
  </si>
  <si>
    <t xml:space="preserve">       second-tier increases. </t>
  </si>
  <si>
    <t>SC</t>
  </si>
  <si>
    <t>Faculty Promotion</t>
  </si>
  <si>
    <t>Regional Campus Support</t>
  </si>
  <si>
    <t>2017-18</t>
  </si>
  <si>
    <t xml:space="preserve">WICHE Tuition and Fees in Public Higher Education in the West, 2009-10 through 2017-18. </t>
  </si>
  <si>
    <t>Internal Service Funds (Motor Pool, Fuel Network, Liability &amp; Property Insurance)</t>
  </si>
  <si>
    <t>Health &amp; Dental Insurance</t>
  </si>
  <si>
    <t>Tuition Waiver Offset</t>
  </si>
  <si>
    <t>Non-Resident Graduate (MACC 1st Year)</t>
  </si>
  <si>
    <t>Resident Graduate (MACC 1st Year)</t>
  </si>
  <si>
    <t>Internal Service Fund</t>
  </si>
  <si>
    <t>Campus Support</t>
  </si>
  <si>
    <t>SNOW RM Rank</t>
  </si>
  <si>
    <t>SLCC RM Rank</t>
  </si>
  <si>
    <t>CEU RM Rank</t>
  </si>
  <si>
    <t>RM Average</t>
  </si>
  <si>
    <t>RM Min</t>
  </si>
  <si>
    <t>RM Max</t>
  </si>
  <si>
    <t>Number of RM Schools</t>
  </si>
  <si>
    <t>SNOW WICHE Rank</t>
  </si>
  <si>
    <t>SLCC WICHE Rank</t>
  </si>
  <si>
    <t>CEU WICHE Rank</t>
  </si>
  <si>
    <t>WICHE Average</t>
  </si>
  <si>
    <t>WICHE Min</t>
  </si>
  <si>
    <t>WICHE Max</t>
  </si>
  <si>
    <t>(less 5 schools from WICHE)</t>
  </si>
  <si>
    <t>Number of WICHE Schools</t>
  </si>
  <si>
    <t>Western Wyoming Community College</t>
  </si>
  <si>
    <t>WY</t>
  </si>
  <si>
    <t>RM</t>
  </si>
  <si>
    <t>W</t>
  </si>
  <si>
    <t>Northern Wyoming Community College District</t>
  </si>
  <si>
    <t>Northwest Community College</t>
  </si>
  <si>
    <t>Laramie County Community College</t>
  </si>
  <si>
    <t>Eastern Wyoming College</t>
  </si>
  <si>
    <t>Central Wyoming College</t>
  </si>
  <si>
    <t>Casper College</t>
  </si>
  <si>
    <t>Yakima Valley College</t>
  </si>
  <si>
    <t>WA</t>
  </si>
  <si>
    <t>Whatcom Community College</t>
  </si>
  <si>
    <t>N/A</t>
  </si>
  <si>
    <t>Wenatchee Valley College</t>
  </si>
  <si>
    <t>Walla Walla Community College</t>
  </si>
  <si>
    <t>Tacoma Community College</t>
  </si>
  <si>
    <t>Spokane Falls Community College</t>
  </si>
  <si>
    <t>Spokane Community College</t>
  </si>
  <si>
    <t>South Seattle Community College</t>
  </si>
  <si>
    <t>South Puget Sound Community College</t>
  </si>
  <si>
    <t>Skagit Valley College</t>
  </si>
  <si>
    <t>Shoreline Community College</t>
  </si>
  <si>
    <t>Seattle Central Community College</t>
  </si>
  <si>
    <t>Renton Technical College</t>
  </si>
  <si>
    <t>Pierce College - Puyallup</t>
  </si>
  <si>
    <t>Pierce College - Ft. Steilacoom</t>
  </si>
  <si>
    <t>Peninsula College</t>
  </si>
  <si>
    <t>Olympic College</t>
  </si>
  <si>
    <t>North Seattle Community College</t>
  </si>
  <si>
    <t>Lower Columbia College</t>
  </si>
  <si>
    <t>Lake Washington Institute of Technology</t>
  </si>
  <si>
    <t>Highline Community College</t>
  </si>
  <si>
    <t>Green River Community College</t>
  </si>
  <si>
    <t>Grays Harbor College</t>
  </si>
  <si>
    <t>Everett Community College</t>
  </si>
  <si>
    <t>Edmonds Community College</t>
  </si>
  <si>
    <t>Columbia Basin College</t>
  </si>
  <si>
    <t>Clover Park Technical College</t>
  </si>
  <si>
    <t>Clark College</t>
  </si>
  <si>
    <t>Centralia College</t>
  </si>
  <si>
    <t>Cascadia Community College</t>
  </si>
  <si>
    <t>Big Bend Community College</t>
  </si>
  <si>
    <t>Bellingham Technical College</t>
  </si>
  <si>
    <t>Bellevue Community College</t>
  </si>
  <si>
    <t>Bates Technical College</t>
  </si>
  <si>
    <t>UT</t>
  </si>
  <si>
    <t>Salt Lake City Community College</t>
  </si>
  <si>
    <t>USU - Eastern</t>
  </si>
  <si>
    <t>Western Dakota Technical Institute</t>
  </si>
  <si>
    <t>SD</t>
  </si>
  <si>
    <t>Southeast Technical Institute</t>
  </si>
  <si>
    <t>Mitchell Technical Institute</t>
  </si>
  <si>
    <t>Lake Area Technical Institute</t>
  </si>
  <si>
    <t>Umpqua Community College</t>
  </si>
  <si>
    <t>OR</t>
  </si>
  <si>
    <t>Treasure Valley Community College</t>
  </si>
  <si>
    <t>Tillamook Bay Community College</t>
  </si>
  <si>
    <t>Southwestern Oregon Community College</t>
  </si>
  <si>
    <t>Rogue Community College</t>
  </si>
  <si>
    <t>Portland Community College</t>
  </si>
  <si>
    <t>Oregon Coast Community College</t>
  </si>
  <si>
    <t>Mt. Hood Community College</t>
  </si>
  <si>
    <t>Linn-Benton Community College</t>
  </si>
  <si>
    <t>Lane Community College</t>
  </si>
  <si>
    <t>Klamath Community College</t>
  </si>
  <si>
    <t>Columbia Gorge Community College</t>
  </si>
  <si>
    <t>Clatsop Community College</t>
  </si>
  <si>
    <t>Clackamas Community College</t>
  </si>
  <si>
    <t>Chemeketa Community College</t>
  </si>
  <si>
    <t>Central Oregon Community College</t>
  </si>
  <si>
    <t>Blue Mountain Community College</t>
  </si>
  <si>
    <t>Western Nevada Community College</t>
  </si>
  <si>
    <t>NV</t>
  </si>
  <si>
    <t>Truckee Meadows Community College</t>
  </si>
  <si>
    <t>Great Basin College</t>
  </si>
  <si>
    <t>College of Southern Nevada</t>
  </si>
  <si>
    <t>University of New Mexico, Valencia County</t>
  </si>
  <si>
    <t>NM</t>
  </si>
  <si>
    <t>University of New Mexico, Taos</t>
  </si>
  <si>
    <t>University of New Mexico, Los Alamos</t>
  </si>
  <si>
    <t>University of New Mexico, Gallup</t>
  </si>
  <si>
    <t>Santa Fe Community College</t>
  </si>
  <si>
    <t>San Juan College</t>
  </si>
  <si>
    <t>New Mexico State University, Grants Branch</t>
  </si>
  <si>
    <t>New Mexico State University, Dona Ana</t>
  </si>
  <si>
    <t>New Mexico State University, Carlsbad</t>
  </si>
  <si>
    <t>New Mexico State University, Alamagordo</t>
  </si>
  <si>
    <t>New Mexico Military Institute</t>
  </si>
  <si>
    <t>New Mexico Junior College</t>
  </si>
  <si>
    <t>Mesalands Community College</t>
  </si>
  <si>
    <t>Luna Community College</t>
  </si>
  <si>
    <t>Eastern New Mexico University, Ruidoso</t>
  </si>
  <si>
    <t>Eastern New Mexico University, Roswell</t>
  </si>
  <si>
    <t>Clovis Community College</t>
  </si>
  <si>
    <t>Central New Mexico Community College</t>
  </si>
  <si>
    <t>Williston State College</t>
  </si>
  <si>
    <t>ND</t>
  </si>
  <si>
    <t>North Dakota State College of Science</t>
  </si>
  <si>
    <t>Dakota College at Bottineau</t>
  </si>
  <si>
    <t>Lake Region State College</t>
  </si>
  <si>
    <t>Bismarck State College</t>
  </si>
  <si>
    <t>Gallatin College Montana State University</t>
  </si>
  <si>
    <t>MT</t>
  </si>
  <si>
    <t>Missoula College University of Montana</t>
  </si>
  <si>
    <t>Helena College University of Montana</t>
  </si>
  <si>
    <t>Great Falls College Montana State University</t>
  </si>
  <si>
    <t>City College of Montana State University Billings</t>
  </si>
  <si>
    <t>Highlands College of Montana Tech</t>
  </si>
  <si>
    <t>Miles Community College</t>
  </si>
  <si>
    <t>Flathead Valley Community College</t>
  </si>
  <si>
    <t>Dawson Community College</t>
  </si>
  <si>
    <t>North Idaho College</t>
  </si>
  <si>
    <t>ID</t>
  </si>
  <si>
    <t>Eastern Idaho Technical College</t>
  </si>
  <si>
    <t>College of Southern Idaho</t>
  </si>
  <si>
    <t>Windward Community College</t>
  </si>
  <si>
    <t>HI</t>
  </si>
  <si>
    <t>University of Hawai'i Maui College</t>
  </si>
  <si>
    <t>Leeward Community College</t>
  </si>
  <si>
    <t>Kauai Community College</t>
  </si>
  <si>
    <t>Kapiolani Community College</t>
  </si>
  <si>
    <t>Honolulu Community College</t>
  </si>
  <si>
    <t>Hawaii Community College</t>
  </si>
  <si>
    <t>Trinidad State Junior College</t>
  </si>
  <si>
    <t>CO</t>
  </si>
  <si>
    <t>Red Rocks Community College</t>
  </si>
  <si>
    <t>Pueblo Community College</t>
  </si>
  <si>
    <t>Pikes Peak Community College</t>
  </si>
  <si>
    <t>Otero Junior College</t>
  </si>
  <si>
    <t>Northeastern Junior College</t>
  </si>
  <si>
    <t>Morgan Community College</t>
  </si>
  <si>
    <t>Lamar Community College</t>
  </si>
  <si>
    <t>Front Range Community College</t>
  </si>
  <si>
    <t>Community College of Denver</t>
  </si>
  <si>
    <t>Community College of Aurora</t>
  </si>
  <si>
    <t>Colorado Northwestern Community College</t>
  </si>
  <si>
    <t>Colorado Mountain College</t>
  </si>
  <si>
    <t>Arapahoe Community College</t>
  </si>
  <si>
    <t>Aims Community College</t>
  </si>
  <si>
    <t>Yuba College</t>
  </si>
  <si>
    <t>CA</t>
  </si>
  <si>
    <t>Woodland Community College</t>
  </si>
  <si>
    <t>West Valley College</t>
  </si>
  <si>
    <t>West Los Angeles College</t>
  </si>
  <si>
    <t>West Hills College</t>
  </si>
  <si>
    <t>Victor Valley Community College</t>
  </si>
  <si>
    <t>Ventura College</t>
  </si>
  <si>
    <t>Taft College</t>
  </si>
  <si>
    <t>Southwestern College</t>
  </si>
  <si>
    <t>Solano Community College</t>
  </si>
  <si>
    <t>Skyline College</t>
  </si>
  <si>
    <t>Siskiyous, College of the</t>
  </si>
  <si>
    <t>Sierra College</t>
  </si>
  <si>
    <t>Shasta College</t>
  </si>
  <si>
    <t>Sequoias, College of the</t>
  </si>
  <si>
    <t>Santiago Canyon College</t>
  </si>
  <si>
    <t>Santa Rosa Junior College</t>
  </si>
  <si>
    <t>Santa Monica College</t>
  </si>
  <si>
    <t>Santa Barbara City College</t>
  </si>
  <si>
    <t>Santa Ana College</t>
  </si>
  <si>
    <t>San Mateo, College of</t>
  </si>
  <si>
    <t>San Jose City College</t>
  </si>
  <si>
    <t>San Joaquin Delta College</t>
  </si>
  <si>
    <t>San Diego Miramar College</t>
  </si>
  <si>
    <t>San Diego Mesa College</t>
  </si>
  <si>
    <t>San Diego City College</t>
  </si>
  <si>
    <t>San Bernardino Valley College</t>
  </si>
  <si>
    <t>Saddleback College</t>
  </si>
  <si>
    <t>Sacramento City College</t>
  </si>
  <si>
    <t>Riverside Community College</t>
  </si>
  <si>
    <t>Rio Hondo College</t>
  </si>
  <si>
    <t>Reedley College</t>
  </si>
  <si>
    <t>Redwoods, College of the</t>
  </si>
  <si>
    <t>Porterville College</t>
  </si>
  <si>
    <t>Pasadena City College</t>
  </si>
  <si>
    <t>Palomar College</t>
  </si>
  <si>
    <t>Palo Verde College</t>
  </si>
  <si>
    <t>Oxnard College</t>
  </si>
  <si>
    <t>Orange Coast College</t>
  </si>
  <si>
    <t>Ohlone College</t>
  </si>
  <si>
    <t>Napa Valley College</t>
  </si>
  <si>
    <t>Mt. San Jacinto College</t>
  </si>
  <si>
    <t>Mt. San Antonio College</t>
  </si>
  <si>
    <t>Moorpark College</t>
  </si>
  <si>
    <t>Monterey Peninsula College</t>
  </si>
  <si>
    <t>Modesto Junior College</t>
  </si>
  <si>
    <t>Mission College</t>
  </si>
  <si>
    <t>Mira Costa College</t>
  </si>
  <si>
    <t>Merritt College</t>
  </si>
  <si>
    <t>Merced College</t>
  </si>
  <si>
    <t>Mendocino College</t>
  </si>
  <si>
    <t>Marin, The College of</t>
  </si>
  <si>
    <t>Los Medanos College</t>
  </si>
  <si>
    <t>Los Angeles Valley College</t>
  </si>
  <si>
    <t>Los Angeles Trade-Technical College</t>
  </si>
  <si>
    <t>Los Angeles Southwest College</t>
  </si>
  <si>
    <t>Los Angeles Pierce College</t>
  </si>
  <si>
    <t>Los Angeles Mission College</t>
  </si>
  <si>
    <t>Los Angeles Harbor College</t>
  </si>
  <si>
    <t>Los Angeles City College</t>
  </si>
  <si>
    <t>Long Beach City College</t>
  </si>
  <si>
    <t>Lassen Community College</t>
  </si>
  <si>
    <t>Las Positas College</t>
  </si>
  <si>
    <t>Laney College</t>
  </si>
  <si>
    <t>Lake Tahoe Community College</t>
  </si>
  <si>
    <t>Irvine Valley College</t>
  </si>
  <si>
    <t>Imperial Valley College</t>
  </si>
  <si>
    <t>Hartnell College</t>
  </si>
  <si>
    <t>Grossmont College</t>
  </si>
  <si>
    <t>Golden West College</t>
  </si>
  <si>
    <t>Glendale Community College</t>
  </si>
  <si>
    <t>Gavilan College</t>
  </si>
  <si>
    <t>Fullerton College</t>
  </si>
  <si>
    <t>Fresno City College</t>
  </si>
  <si>
    <t>Foothill College</t>
  </si>
  <si>
    <t>Folsom Lake College</t>
  </si>
  <si>
    <t>Feather River College</t>
  </si>
  <si>
    <t>Evergreen Valley College</t>
  </si>
  <si>
    <t>El Camino College</t>
  </si>
  <si>
    <t>East Los Angeles College</t>
  </si>
  <si>
    <t>Diablo Valley College</t>
  </si>
  <si>
    <t>Desert, College of the</t>
  </si>
  <si>
    <t>DeAnza College</t>
  </si>
  <si>
    <t>Cypress College</t>
  </si>
  <si>
    <t>Cuyamaca College</t>
  </si>
  <si>
    <t>Cuesta College</t>
  </si>
  <si>
    <t>Crafton Hills College</t>
  </si>
  <si>
    <t>Cosumnes River College</t>
  </si>
  <si>
    <t>Copper Mountain College</t>
  </si>
  <si>
    <t>Contra Costa College</t>
  </si>
  <si>
    <t>Compton Community College</t>
  </si>
  <si>
    <t>Columbia College</t>
  </si>
  <si>
    <t>Coastline Community College</t>
  </si>
  <si>
    <t>--</t>
  </si>
  <si>
    <t>City College of San Francisco</t>
  </si>
  <si>
    <t>Citrus College</t>
  </si>
  <si>
    <t>Chaffey College</t>
  </si>
  <si>
    <t>Chabot College</t>
  </si>
  <si>
    <t>Cerro Coso Community College</t>
  </si>
  <si>
    <t>Cerritos College</t>
  </si>
  <si>
    <t>Canyons, College of the</t>
  </si>
  <si>
    <t>Canada College</t>
  </si>
  <si>
    <t>Cabrillo College</t>
  </si>
  <si>
    <t>Butte College</t>
  </si>
  <si>
    <t>Berkeley Community College</t>
  </si>
  <si>
    <t>Barstow College</t>
  </si>
  <si>
    <t>Bakersfield College</t>
  </si>
  <si>
    <t>Antelope Valley College</t>
  </si>
  <si>
    <t>American River College</t>
  </si>
  <si>
    <t>Allan Hancock College</t>
  </si>
  <si>
    <t>Alameda, College of</t>
  </si>
  <si>
    <t>Yavapai College</t>
  </si>
  <si>
    <t>AZ</t>
  </si>
  <si>
    <t>South Mountain Community College</t>
  </si>
  <si>
    <t>Scottsdale Community College</t>
  </si>
  <si>
    <t>Rio Salado Community College</t>
  </si>
  <si>
    <t>Pima Community College</t>
  </si>
  <si>
    <t>Phoenix College</t>
  </si>
  <si>
    <t>Paradise Valley Community College</t>
  </si>
  <si>
    <t>Northland Pioneer College</t>
  </si>
  <si>
    <t>Mohave Community College</t>
  </si>
  <si>
    <t>Mesa Community College</t>
  </si>
  <si>
    <t>Gateway Community College</t>
  </si>
  <si>
    <t>Estrella Mountain Community College</t>
  </si>
  <si>
    <t>Eastern Arizona College</t>
  </si>
  <si>
    <t>Coconino County Community College</t>
  </si>
  <si>
    <t>Cochise College</t>
  </si>
  <si>
    <t>Chandler-Gilbert Community College</t>
  </si>
  <si>
    <t>Central Arizona College</t>
  </si>
  <si>
    <t>Arizona Western College</t>
  </si>
  <si>
    <t>Prince William Sound Community College</t>
  </si>
  <si>
    <t>AK</t>
  </si>
  <si>
    <t>2018-19</t>
  </si>
  <si>
    <t>SNOW, CEU and SLCC COMPARISON GROUP</t>
  </si>
  <si>
    <t>NonResident UG</t>
  </si>
  <si>
    <t>Resident UG</t>
  </si>
  <si>
    <t>UVU RM Rank</t>
  </si>
  <si>
    <t>DSU RM Rank</t>
  </si>
  <si>
    <t>UVU WICHE Rank</t>
  </si>
  <si>
    <t>DSU WICHE Rank</t>
  </si>
  <si>
    <t>Dakota State University</t>
  </si>
  <si>
    <t>Black Hills State University</t>
  </si>
  <si>
    <t>Oregon Institute of Technology</t>
  </si>
  <si>
    <t>Nevada State College</t>
  </si>
  <si>
    <t>Valley City State University</t>
  </si>
  <si>
    <t>Mayville State University</t>
  </si>
  <si>
    <t>Dickinson State University</t>
  </si>
  <si>
    <t>University of Montana, Western</t>
  </si>
  <si>
    <t>Montana Tech, University of Montana</t>
  </si>
  <si>
    <t>Montana State University, Northern</t>
  </si>
  <si>
    <t>Lewis-Clark State College</t>
  </si>
  <si>
    <t>University of Hawaii, West Oahu</t>
  </si>
  <si>
    <t>University of Hawaii, Hilo</t>
  </si>
  <si>
    <t>Western State Colorado University</t>
  </si>
  <si>
    <t>Metropolitan State College of Denver</t>
  </si>
  <si>
    <t>Colorado Mesa University</t>
  </si>
  <si>
    <t>Fort Lewis College</t>
  </si>
  <si>
    <t>Colorado State University-Pueblo</t>
  </si>
  <si>
    <t>California State University, Monterey Bay</t>
  </si>
  <si>
    <t>California State University, Channel Islands</t>
  </si>
  <si>
    <t>California Maritime Academy</t>
  </si>
  <si>
    <t>DSU COMPARISON GROUP</t>
  </si>
  <si>
    <t>SUU RM Rank</t>
  </si>
  <si>
    <t>SUU WICHE Rank</t>
  </si>
  <si>
    <t>Evergreen State College</t>
  </si>
  <si>
    <t>Eastern New Mexico University</t>
  </si>
  <si>
    <t>Minot State University</t>
  </si>
  <si>
    <t>University of Alaska, Southeast</t>
  </si>
  <si>
    <t>SUU COMPARISON GROUP</t>
  </si>
  <si>
    <t>NonResident GRAD</t>
  </si>
  <si>
    <t>Resident GRAD</t>
  </si>
  <si>
    <t>WSU RM Rank</t>
  </si>
  <si>
    <t>WSU WICHE Rank</t>
  </si>
  <si>
    <t xml:space="preserve">Weber State University </t>
  </si>
  <si>
    <t>Eastern Oregon University</t>
  </si>
  <si>
    <t>Western New Mexico University</t>
  </si>
  <si>
    <t>New Mexico Institute of Mining and Technology</t>
  </si>
  <si>
    <t>Montana State University, Bozeman</t>
  </si>
  <si>
    <t>Humboldt State University</t>
  </si>
  <si>
    <t>California State University, Stanislaus</t>
  </si>
  <si>
    <t>California State University, San Marcos</t>
  </si>
  <si>
    <t>Arizona State University, Polytechnic</t>
  </si>
  <si>
    <t>WSU &amp; UVU COMPARISON GROUP</t>
  </si>
  <si>
    <t>USU RM Rank</t>
  </si>
  <si>
    <t>USU WICHE Rank</t>
  </si>
  <si>
    <t>University of Wyoming</t>
  </si>
  <si>
    <t>South Dakota State University</t>
  </si>
  <si>
    <t>University of Oregon</t>
  </si>
  <si>
    <t>University of Nevada, Reno</t>
  </si>
  <si>
    <t>University of Nevada, Las Vegas</t>
  </si>
  <si>
    <t>New Mexico State University</t>
  </si>
  <si>
    <t>University of North Dakota</t>
  </si>
  <si>
    <t>North Dakota State University</t>
  </si>
  <si>
    <t>University of Montana, Missoula</t>
  </si>
  <si>
    <t>University of Idaho</t>
  </si>
  <si>
    <t>Colorado School of Mines</t>
  </si>
  <si>
    <t>San Diego State University</t>
  </si>
  <si>
    <t>Northern Arizona University</t>
  </si>
  <si>
    <t>University of Alaska, Fairbanks</t>
  </si>
  <si>
    <t>USU COMPARISON GROUP</t>
  </si>
  <si>
    <t>UU RM Rank</t>
  </si>
  <si>
    <t>UU WICHE Rank</t>
  </si>
  <si>
    <t>Washington State University</t>
  </si>
  <si>
    <t>University of Washington</t>
  </si>
  <si>
    <t>Oregon State University</t>
  </si>
  <si>
    <t>University of New Mexico</t>
  </si>
  <si>
    <t>University of Hawaii, Manoa</t>
  </si>
  <si>
    <t>University of Colorado, Denver</t>
  </si>
  <si>
    <t>University of Colorado, Boulder</t>
  </si>
  <si>
    <t>Colorado State University</t>
  </si>
  <si>
    <t>University of California, Santa Cruz</t>
  </si>
  <si>
    <t>University of California, Santa Barbara</t>
  </si>
  <si>
    <t>University of California, San Diego</t>
  </si>
  <si>
    <t>University of California, Riverside</t>
  </si>
  <si>
    <t>University of California, Merced</t>
  </si>
  <si>
    <t>University of California, Los Angeles</t>
  </si>
  <si>
    <t>University of California, Irvine</t>
  </si>
  <si>
    <t>University of California, Davis</t>
  </si>
  <si>
    <t>University of California, Berkeley</t>
  </si>
  <si>
    <t>University of Arizona</t>
  </si>
  <si>
    <t>Arizona State University, Tempe</t>
  </si>
  <si>
    <t>UU COMPARISON GROUP</t>
  </si>
  <si>
    <t>Table 8 Resident &amp; Nonresident undergraduate tuition and fee rates at public 2 year insitutions in the WICHE region</t>
  </si>
  <si>
    <t>Table 6 Resident &amp; Nonresident graduate tuition and fees at public 4 year institution in the WICHE region</t>
  </si>
  <si>
    <t>(2) Rocky Mountain states include Idaho, Nevada, Arizona, New Mexico, Utah, Colorado, Wyoming, and Montana.</t>
  </si>
  <si>
    <t>Table 4 Resident &amp; Nonresident undergraduate tuition and fee rates at public 4 year insitutions in the WICHE region</t>
  </si>
  <si>
    <t xml:space="preserve">Source: </t>
  </si>
  <si>
    <t>(1) WICHE states include Alaska, Arizona, California, Colorado, Hawaii, Idaho, Montana, New Mexico, Nevada, North Dakota, Oregon, South Dakota, Utah, Washington, Wyoming</t>
  </si>
  <si>
    <t>WICHE and Rocky Mountain Region Schools Tuition and Fee Comparison Tuition and Fee Rates</t>
  </si>
  <si>
    <t xml:space="preserve">Institution: </t>
  </si>
  <si>
    <t>Due Date:</t>
  </si>
  <si>
    <t>Current 2018-19 Annual Tuition (Fall &amp; Spring Semesters)</t>
  </si>
  <si>
    <t>Proposed Tuition Increase</t>
  </si>
  <si>
    <t>Proposed 2019-20 Annual Tuition (Fall &amp; Spring Semesters)</t>
  </si>
  <si>
    <t>Resident Graduate (Base or Lowest Rate)</t>
  </si>
  <si>
    <t>Non-Resident Undergraduate (Lower Division)</t>
  </si>
  <si>
    <t>Non-Resident Graduate (Base or Lowest Rate)</t>
  </si>
  <si>
    <t>Resident Undergraduate (Lower Division)</t>
  </si>
  <si>
    <t>Resident Graduate % Resident Undergraduate</t>
  </si>
  <si>
    <t>Non-Res Graduate % Non-Res Undergraduate</t>
  </si>
  <si>
    <t>Non-Res Undergraduate % Res Undergraduate</t>
  </si>
  <si>
    <t>Non-Res Graduate % Resident Graduate</t>
  </si>
  <si>
    <t>% Increase</t>
  </si>
  <si>
    <t>C.</t>
  </si>
  <si>
    <t>FORM R-4: TUITION PROPOSAL</t>
  </si>
  <si>
    <t>1. Purpose of the Form:</t>
  </si>
  <si>
    <t>2. Instructions for Completing the Form:</t>
  </si>
  <si>
    <t>A.</t>
  </si>
  <si>
    <t>B.</t>
  </si>
  <si>
    <t>D.</t>
  </si>
  <si>
    <t>E.</t>
  </si>
  <si>
    <t>F.</t>
  </si>
  <si>
    <t xml:space="preserve">Based on the file name conventions below, save your completed form as: </t>
  </si>
  <si>
    <t xml:space="preserve">File name conventions: </t>
  </si>
  <si>
    <t>01 UU; 02 USU; 03 WSU; 04 SUU; 05 Snow; 06 DSU; 07 UVU; 08 SLCC</t>
  </si>
  <si>
    <t>March 15, 2019</t>
  </si>
  <si>
    <t>2019-20 Tuition Increase Estimates by Institution</t>
  </si>
  <si>
    <t>Tuition (FY19 Budget)</t>
  </si>
  <si>
    <t>2% Salary &amp; Related Benefits</t>
  </si>
  <si>
    <t>2019-20
Total Changes</t>
  </si>
  <si>
    <t>FY19 A-1 Budget (E&amp;G on-going and 1x)</t>
  </si>
  <si>
    <t>Tax Funds</t>
  </si>
  <si>
    <t>Tuition</t>
  </si>
  <si>
    <t>% Tuition</t>
  </si>
  <si>
    <t>Total ISF</t>
  </si>
  <si>
    <t>Tuition $'s Needed</t>
  </si>
  <si>
    <t>Estimate, check against Bill</t>
  </si>
  <si>
    <t>2019-20 Tuition Proposal - Resident Undergraduate &amp; Graduate Students</t>
  </si>
  <si>
    <t>Utah Resident Graduate</t>
  </si>
  <si>
    <t>Graduate tuition rates listed above are the lowest graduate tuition rates at each institution, and may vary by program</t>
  </si>
  <si>
    <t xml:space="preserve">Programmatic tuition increase proposals above the standard institutional tuition increase rate will be presented as a request for differential tuition rates </t>
  </si>
  <si>
    <t>2019-20 Tuition Proposal - Non-Resident Undergraduate &amp; Graduate Students</t>
  </si>
  <si>
    <t>Non-Resident Graduate</t>
  </si>
  <si>
    <t>Table 1</t>
  </si>
  <si>
    <t>Tuition by Semester Credit Hour Load for Resident Undergraduate Students</t>
  </si>
  <si>
    <r>
      <t>USU</t>
    </r>
    <r>
      <rPr>
        <vertAlign val="superscript"/>
        <sz val="11"/>
        <rFont val="Arial Narrow"/>
        <family val="2"/>
      </rPr>
      <t>1</t>
    </r>
  </si>
  <si>
    <r>
      <t>WSU</t>
    </r>
    <r>
      <rPr>
        <vertAlign val="superscript"/>
        <sz val="11"/>
        <rFont val="Arial Narrow"/>
        <family val="2"/>
      </rPr>
      <t>1</t>
    </r>
  </si>
  <si>
    <r>
      <t>Snow</t>
    </r>
    <r>
      <rPr>
        <vertAlign val="superscript"/>
        <sz val="11"/>
        <rFont val="Arial Narrow"/>
        <family val="2"/>
      </rPr>
      <t>1</t>
    </r>
  </si>
  <si>
    <t>Table 2</t>
  </si>
  <si>
    <t>Tuition &amp; Fees by Semester Credit Hour Load for Resident Undergraduate Students</t>
  </si>
  <si>
    <t>Notes:</t>
  </si>
  <si>
    <t>Shading denotes plateau tuition.</t>
  </si>
  <si>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 xml:space="preserve"> Higher differential rate for students enrolling in certain disciplines.</t>
    </r>
  </si>
  <si>
    <t>Table 3</t>
  </si>
  <si>
    <t>USHE Summary of Undergraduate Annual Tuition and Fees by Institution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</si>
  <si>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</si>
  <si>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</si>
  <si>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</si>
  <si>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</si>
  <si>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</si>
  <si>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</si>
  <si>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</si>
  <si>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</si>
  <si>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</si>
  <si>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1986-87**</t>
  </si>
  <si>
    <t>1987-88</t>
  </si>
  <si>
    <t>1988-89</t>
  </si>
  <si>
    <t>1989-90</t>
  </si>
  <si>
    <t>1990-91</t>
  </si>
  <si>
    <t>1992-93**</t>
  </si>
  <si>
    <t>1999-2000</t>
  </si>
  <si>
    <t>Tuition 
&amp; Fees</t>
  </si>
  <si>
    <t>Tuition &amp; Fees</t>
  </si>
  <si>
    <r>
      <t>UofU</t>
    </r>
    <r>
      <rPr>
        <vertAlign val="superscript"/>
        <sz val="10"/>
        <rFont val="Arial Narrow"/>
        <family val="2"/>
      </rPr>
      <t>1</t>
    </r>
  </si>
  <si>
    <t xml:space="preserve"> Resident</t>
  </si>
  <si>
    <t xml:space="preserve">  Nonresident</t>
  </si>
  <si>
    <r>
      <t>USU</t>
    </r>
    <r>
      <rPr>
        <vertAlign val="superscript"/>
        <sz val="10"/>
        <rFont val="Arial Narrow"/>
        <family val="2"/>
      </rPr>
      <t>1</t>
    </r>
  </si>
  <si>
    <t xml:space="preserve"> Nonresident</t>
  </si>
  <si>
    <r>
      <t>WSU</t>
    </r>
    <r>
      <rPr>
        <vertAlign val="superscript"/>
        <sz val="10"/>
        <rFont val="Arial Narrow"/>
        <family val="2"/>
      </rPr>
      <t>1</t>
    </r>
  </si>
  <si>
    <r>
      <t>Snow</t>
    </r>
    <r>
      <rPr>
        <vertAlign val="superscript"/>
        <sz val="10"/>
        <rFont val="Arial Narrow"/>
        <family val="2"/>
      </rPr>
      <t>1</t>
    </r>
  </si>
  <si>
    <t>USU-CEU</t>
  </si>
  <si>
    <t/>
  </si>
  <si>
    <t>Two semesters at 15 credit hours each.</t>
  </si>
  <si>
    <t>**  Includes 10% one-time surcharge for Winter and Spring Quarters</t>
  </si>
  <si>
    <t>Table 4</t>
  </si>
  <si>
    <t>USHE Summary of Undergraduate Annual Tuition by Institution</t>
  </si>
  <si>
    <t>1969-70</t>
  </si>
  <si>
    <t>Adjusted $ % Change</t>
  </si>
  <si>
    <t xml:space="preserve">
Current $</t>
  </si>
  <si>
    <t>Inflation Adjusted $</t>
  </si>
  <si>
    <t>Constant $</t>
  </si>
  <si>
    <t>2008-09  to 2018-19</t>
  </si>
  <si>
    <r>
      <t>USU</t>
    </r>
    <r>
      <rPr>
        <vertAlign val="superscript"/>
        <sz val="10"/>
        <rFont val="Arial Narrow"/>
        <family val="2"/>
      </rPr>
      <t>2</t>
    </r>
  </si>
  <si>
    <r>
      <t>WSU</t>
    </r>
    <r>
      <rPr>
        <vertAlign val="superscript"/>
        <sz val="10"/>
        <rFont val="Arial Narrow"/>
        <family val="2"/>
      </rPr>
      <t>3</t>
    </r>
  </si>
  <si>
    <t>August CPI</t>
  </si>
  <si>
    <t>Dollar Inflator</t>
  </si>
  <si>
    <t>Table 5</t>
  </si>
  <si>
    <r>
      <t>Annual Tuition and Fees for Resident and Nonresident Undergraduate Students</t>
    </r>
    <r>
      <rPr>
        <b/>
        <vertAlign val="superscript"/>
        <sz val="12"/>
        <rFont val="Arial Narrow"/>
        <family val="2"/>
      </rPr>
      <t>1</t>
    </r>
  </si>
  <si>
    <r>
      <t>UofU</t>
    </r>
    <r>
      <rPr>
        <vertAlign val="superscript"/>
        <sz val="10"/>
        <rFont val="Arial Narrow"/>
        <family val="2"/>
      </rPr>
      <t>2</t>
    </r>
  </si>
  <si>
    <r>
      <t>WSU</t>
    </r>
    <r>
      <rPr>
        <vertAlign val="superscript"/>
        <sz val="10"/>
        <rFont val="Arial Narrow"/>
        <family val="2"/>
      </rPr>
      <t>2</t>
    </r>
  </si>
  <si>
    <r>
      <t>Snow</t>
    </r>
    <r>
      <rPr>
        <vertAlign val="superscript"/>
        <sz val="10"/>
        <rFont val="Arial Narrow"/>
        <family val="2"/>
      </rPr>
      <t>2</t>
    </r>
  </si>
  <si>
    <t xml:space="preserve">Resident Students </t>
  </si>
  <si>
    <t>Nonresident Students</t>
  </si>
  <si>
    <t>Fees</t>
  </si>
  <si>
    <t>Student Activity/Support Fees</t>
  </si>
  <si>
    <t>Building Support/Bond Fees</t>
  </si>
  <si>
    <t>Athletic Fees</t>
  </si>
  <si>
    <t>Health Fees</t>
  </si>
  <si>
    <t>Technology Fees</t>
  </si>
  <si>
    <t>Transportation Fees</t>
  </si>
  <si>
    <t>Other Fees</t>
  </si>
  <si>
    <t>Total Fees</t>
  </si>
  <si>
    <t>Total Undergraduate Tuition and Fees</t>
  </si>
  <si>
    <t>Resident Students</t>
  </si>
  <si>
    <t>Fees as a % of Resident</t>
  </si>
  <si>
    <t>Undergraduate Tuition and Fees</t>
  </si>
  <si>
    <r>
      <rPr>
        <vertAlign val="superscript"/>
        <sz val="10"/>
        <rFont val="Arial Narrow"/>
        <family val="2"/>
      </rPr>
      <t xml:space="preserve">1 </t>
    </r>
    <r>
      <rPr>
        <sz val="10"/>
        <rFont val="Arial Narrow"/>
        <family val="2"/>
      </rPr>
      <t>Two semesters at 15 credit hours each.</t>
    </r>
  </si>
  <si>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Higher differential rate for students enrolling in certain disciplines.</t>
    </r>
  </si>
  <si>
    <t>Table 6</t>
  </si>
  <si>
    <r>
      <t>Annual Tuition, Fees, and Differential</t>
    </r>
    <r>
      <rPr>
        <b/>
        <sz val="12"/>
        <rFont val="Arial Narrow"/>
        <family val="2"/>
      </rPr>
      <t xml:space="preserve"> for Resident and Nonresident Undergraduate Students</t>
    </r>
  </si>
  <si>
    <t>Total</t>
  </si>
  <si>
    <t>Undergraduate Lower Division</t>
  </si>
  <si>
    <t>Undergraduate Upper Division</t>
  </si>
  <si>
    <t>All students are assessed a $30 student success fee per semester.  In additional per credit hour charge for credits in upper division courses in:</t>
  </si>
  <si>
    <t>School of Business $236.56 (course numbers 3000-3999) $205.39 (course numbers 4000-5999); College of Nursing $90.27; College of Science $21.59; College of Engineering $56.48</t>
  </si>
  <si>
    <t>Undergraduate Logan Campus</t>
  </si>
  <si>
    <t>Undergraduate Regional Campuses</t>
  </si>
  <si>
    <t>Undergraduate Eastern Campuses</t>
  </si>
  <si>
    <t>All students are assessed an additional per credit hour charge for credits in upper division courses in:</t>
  </si>
  <si>
    <t>College of Agriculture &amp; Applied Sciences $59.89; College of the Arts $38.76; School of Business Lower $2.03 and Upper $159.36; College of Education and Human Services Lower $5.21 and Upper $26.01; College of Engineering Lower $2.03 and Upper $48.72</t>
  </si>
  <si>
    <t>Undergraduate</t>
  </si>
  <si>
    <t>Business &amp; Economics Upper $60</t>
  </si>
  <si>
    <t>Music and Software Engineering $36 for residents and $129 for nonresidents</t>
  </si>
  <si>
    <r>
      <t>Annual Tuition and Fees for Resident and Nonresident Graduate Students by Program</t>
    </r>
    <r>
      <rPr>
        <b/>
        <vertAlign val="superscript"/>
        <sz val="12"/>
        <rFont val="Arial Narrow"/>
        <family val="2"/>
      </rPr>
      <t>1,2</t>
    </r>
  </si>
  <si>
    <t>General</t>
  </si>
  <si>
    <t>Accounting</t>
  </si>
  <si>
    <t>Architecture/Planning</t>
  </si>
  <si>
    <t>Art Teaching</t>
  </si>
  <si>
    <t>Biomedical Informatics</t>
  </si>
  <si>
    <t>Business Administration</t>
  </si>
  <si>
    <t>MBA</t>
  </si>
  <si>
    <t>Business Administration (Online &amp; Professional)</t>
  </si>
  <si>
    <t>Online &amp; Professional MBA</t>
  </si>
  <si>
    <t>Communication Disorders</t>
  </si>
  <si>
    <r>
      <t>Dentistry (1st - 3rd Year)</t>
    </r>
    <r>
      <rPr>
        <vertAlign val="superscript"/>
        <sz val="10"/>
        <rFont val="Arial Narrow"/>
        <family val="2"/>
      </rPr>
      <t>5</t>
    </r>
  </si>
  <si>
    <r>
      <t>Dentistry (1st - 3rd Year)</t>
    </r>
    <r>
      <rPr>
        <vertAlign val="superscript"/>
        <sz val="10"/>
        <rFont val="Arial Narrow"/>
        <family val="2"/>
      </rPr>
      <t>3</t>
    </r>
  </si>
  <si>
    <r>
      <t>Dentistry (4th Year)</t>
    </r>
    <r>
      <rPr>
        <vertAlign val="superscript"/>
        <sz val="10"/>
        <rFont val="Arial Narrow"/>
        <family val="2"/>
      </rPr>
      <t>5</t>
    </r>
  </si>
  <si>
    <r>
      <t>Dentistry (4th Year)</t>
    </r>
    <r>
      <rPr>
        <vertAlign val="superscript"/>
        <sz val="10"/>
        <rFont val="Arial Narrow"/>
        <family val="2"/>
      </rPr>
      <t>3</t>
    </r>
  </si>
  <si>
    <t>Electrical/Computer Engineering (Online)</t>
  </si>
  <si>
    <t>Engineering</t>
  </si>
  <si>
    <t>Entertainment Arts/Engineering</t>
  </si>
  <si>
    <t>Education</t>
  </si>
  <si>
    <t>Educational Psychology Professional</t>
  </si>
  <si>
    <t>Genetic Counseling</t>
  </si>
  <si>
    <t>International Affairs/Global Enterprise</t>
  </si>
  <si>
    <t>Law (1-8 credits)</t>
  </si>
  <si>
    <t>Law (9-16 credits)</t>
  </si>
  <si>
    <t>Medical Laboratory Sciences</t>
  </si>
  <si>
    <t>Medicine</t>
  </si>
  <si>
    <t>Nursing/Gerontology</t>
  </si>
  <si>
    <t>Nursing</t>
  </si>
  <si>
    <t>Nutrition</t>
  </si>
  <si>
    <t>Occupational Therapy</t>
  </si>
  <si>
    <t>Pharmacy</t>
  </si>
  <si>
    <t>Physical Therapy</t>
  </si>
  <si>
    <t>Physician Assistant</t>
  </si>
  <si>
    <r>
      <t>Physician Assistant</t>
    </r>
    <r>
      <rPr>
        <vertAlign val="superscript"/>
        <sz val="10"/>
        <rFont val="Arial Narrow"/>
        <family val="2"/>
      </rPr>
      <t>1</t>
    </r>
  </si>
  <si>
    <t>Population Health Sciences</t>
  </si>
  <si>
    <t>Public Administration</t>
  </si>
  <si>
    <t>Public Policy</t>
  </si>
  <si>
    <t>Public/Occupational Health</t>
  </si>
  <si>
    <t>Software Development</t>
  </si>
  <si>
    <t>Software Dev</t>
  </si>
  <si>
    <t>Social Work</t>
  </si>
  <si>
    <r>
      <rPr>
        <vertAlign val="superscript"/>
        <sz val="10"/>
        <rFont val="Arial Narrow"/>
        <family val="2"/>
      </rPr>
      <t>5</t>
    </r>
    <r>
      <rPr>
        <sz val="10"/>
        <rFont val="Arial Narrow"/>
        <family val="2"/>
      </rPr>
      <t>Dentistry also charges a $7,725 annual program fee</t>
    </r>
  </si>
  <si>
    <t>Table 6 (Continued)</t>
  </si>
  <si>
    <t>Jon M. Huntsman School of Business</t>
  </si>
  <si>
    <t>Business</t>
  </si>
  <si>
    <t>Emma Eccles Jones College of Education &amp; Human Services</t>
  </si>
  <si>
    <t>College of Engineering</t>
  </si>
  <si>
    <t>Caine College of the Arts</t>
  </si>
  <si>
    <t>Arts</t>
  </si>
  <si>
    <t>Landscape Architecture &amp; Environmental Planning</t>
  </si>
  <si>
    <r>
      <t xml:space="preserve">Doctor of Veterinary Medicine </t>
    </r>
    <r>
      <rPr>
        <sz val="8"/>
        <rFont val="Arial Narrow"/>
        <family val="2"/>
      </rPr>
      <t>(Washington State University)</t>
    </r>
  </si>
  <si>
    <t>Doctor of Veterinary Medicine (Washington State University</t>
  </si>
  <si>
    <r>
      <t xml:space="preserve">Jesse E. Quinney College of Natural Resources </t>
    </r>
    <r>
      <rPr>
        <sz val="8"/>
        <rFont val="Arial Narrow"/>
        <family val="2"/>
      </rPr>
      <t>(Online Masters)</t>
    </r>
  </si>
  <si>
    <t>Natural Resources (online)</t>
  </si>
  <si>
    <r>
      <t>Online Graduate Courses</t>
    </r>
    <r>
      <rPr>
        <sz val="9"/>
        <rFont val="Arial Narrow"/>
        <family val="2"/>
      </rPr>
      <t xml:space="preserve"> (students who live out-of-state)</t>
    </r>
  </si>
  <si>
    <t>Online Graduate Courses for students living out-of-state</t>
  </si>
  <si>
    <t>Education, Criminal Justice</t>
  </si>
  <si>
    <t>Ed/Criminal</t>
  </si>
  <si>
    <t>English, Computer Engineering, Nursing, Nursing Practitioner, Professional Communication, Quality &amp; Lean Manufacturing Certificate, Computer Science, Respiratory Therapy, Radiological Science</t>
  </si>
  <si>
    <t>Athletic Training</t>
  </si>
  <si>
    <t>Accounting, Business Administration, Health Administration, Taxation</t>
  </si>
  <si>
    <t>Acc, BA, HA, Tax</t>
  </si>
  <si>
    <t>Accounting, Business Administration, Cyber Security &amp; Information Assurance</t>
  </si>
  <si>
    <t>MACC, MBA, CSIA</t>
  </si>
  <si>
    <t>Fine Arts, Managerial Accounting, Public Administration, Science in Forensic Science, Music Technology, Music Education</t>
  </si>
  <si>
    <t>MFA, MPA, MSFS</t>
  </si>
  <si>
    <t>Communications, Sports Conditioning &amp; Performance, Athletic Training</t>
  </si>
  <si>
    <t>MCOM, MSSCP, MAT</t>
  </si>
  <si>
    <t>Education &amp; Nursing</t>
  </si>
  <si>
    <t>Computer Science</t>
  </si>
  <si>
    <t>Cyber Security &amp; Public Services</t>
  </si>
  <si>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 xml:space="preserve"> Regent policy allows institutions to propose differential undergraduate and graduate level tuitions by program.</t>
    </r>
  </si>
  <si>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Two semesters at 10 credit hours each, except Medicine, Physician Assistant, Dentistry and Software Development, which is based on the required full time credit load. </t>
    </r>
  </si>
  <si>
    <t>Table 7</t>
  </si>
  <si>
    <r>
      <t>USHE Undergraduate Resident and Nonresident Tuition Percentage Increases</t>
    </r>
    <r>
      <rPr>
        <b/>
        <vertAlign val="superscript"/>
        <sz val="12"/>
        <rFont val="Arial Narrow"/>
        <family val="2"/>
      </rPr>
      <t>2</t>
    </r>
    <r>
      <rPr>
        <b/>
        <sz val="12"/>
        <rFont val="Arial Narrow"/>
        <family val="2"/>
      </rPr>
      <t xml:space="preserve"> 2009-10 to 2018-19</t>
    </r>
  </si>
  <si>
    <r>
      <t xml:space="preserve">2001-02 </t>
    </r>
    <r>
      <rPr>
        <vertAlign val="superscript"/>
        <sz val="10"/>
        <rFont val="Arial Narrow"/>
        <family val="2"/>
      </rPr>
      <t>(2)</t>
    </r>
  </si>
  <si>
    <t>Resident Tuition Increases</t>
  </si>
  <si>
    <r>
      <t xml:space="preserve">USHE Average </t>
    </r>
    <r>
      <rPr>
        <vertAlign val="superscript"/>
        <sz val="10"/>
        <rFont val="Arial Narrow"/>
        <family val="2"/>
      </rPr>
      <t>1</t>
    </r>
  </si>
  <si>
    <t>USHE First-tier Only</t>
  </si>
  <si>
    <t>Nonresident Tuition Increases</t>
  </si>
  <si>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 xml:space="preserve"> Simple Average.</t>
    </r>
  </si>
  <si>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Percentage increases represent increases that apply to greatest number of students at the institution and do not include differential increases for some programs.</t>
    </r>
  </si>
  <si>
    <t>Table 8</t>
  </si>
  <si>
    <t>Tuition and Fees Comparisons for 2018-19</t>
  </si>
  <si>
    <t>Resident Undergraduate Tuition and Fees</t>
  </si>
  <si>
    <r>
      <t>Rank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 xml:space="preserve"> in </t>
    </r>
  </si>
  <si>
    <r>
      <t>USHE</t>
    </r>
    <r>
      <rPr>
        <vertAlign val="superscript"/>
        <sz val="10"/>
        <rFont val="Arial Narrow"/>
        <family val="2"/>
      </rPr>
      <t>2</t>
    </r>
  </si>
  <si>
    <t xml:space="preserve">Comparison </t>
  </si>
  <si>
    <t xml:space="preserve">USHE </t>
  </si>
  <si>
    <t>Comparison</t>
  </si>
  <si>
    <t>Group Min</t>
  </si>
  <si>
    <t>Group Max</t>
  </si>
  <si>
    <r>
      <t>Group Avg</t>
    </r>
    <r>
      <rPr>
        <vertAlign val="superscript"/>
        <sz val="10"/>
        <rFont val="Arial Narrow"/>
        <family val="2"/>
      </rPr>
      <t>3</t>
    </r>
  </si>
  <si>
    <t>Group</t>
  </si>
  <si>
    <t>Tuition/Fees</t>
  </si>
  <si>
    <t>% of Max</t>
  </si>
  <si>
    <t>% of Avg</t>
  </si>
  <si>
    <t>of</t>
  </si>
  <si>
    <t>CEU</t>
  </si>
  <si>
    <t>Table 9</t>
  </si>
  <si>
    <t xml:space="preserve">Resident (General) Graduate Tuition and Fees </t>
  </si>
  <si>
    <t>Source:  IPEDS.  Institutional Characteristic Survey - Student Charges Tuition and Fees 2018-19</t>
  </si>
  <si>
    <t xml:space="preserve">Notes: </t>
  </si>
  <si>
    <r>
      <rPr>
        <vertAlign val="superscript"/>
        <sz val="10"/>
        <rFont val="Arial Narrow"/>
        <family val="2"/>
      </rPr>
      <t xml:space="preserve">1 </t>
    </r>
    <r>
      <rPr>
        <sz val="10"/>
        <rFont val="Arial Narrow"/>
        <family val="2"/>
      </rPr>
      <t>USHE institutions are ranked within the comparison group, with a ranking of "1" being the highest tuition and fee level.</t>
    </r>
  </si>
  <si>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USHE institutions are reported at the 12 credit hour per semester for 2 semester rate, instead of 10 credit hours per semester as shown on Table 6.</t>
    </r>
  </si>
  <si>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 xml:space="preserve"> Simple average. </t>
    </r>
  </si>
  <si>
    <t>Table 10</t>
  </si>
  <si>
    <t>Nonresident Undergraduate Tuition and Fees</t>
  </si>
  <si>
    <t>Table 11</t>
  </si>
  <si>
    <t xml:space="preserve">Nonresident (General) Graduate Tuition and Fees </t>
  </si>
  <si>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 xml:space="preserve"> USHE institutions are ranked within the comparison group, with a ranking of "1" being the highest tuition and fee level.</t>
    </r>
  </si>
  <si>
    <r>
      <rPr>
        <vertAlign val="superscript"/>
        <sz val="10"/>
        <rFont val="Arial Narrow"/>
        <family val="2"/>
      </rPr>
      <t xml:space="preserve">2 </t>
    </r>
    <r>
      <rPr>
        <sz val="10"/>
        <rFont val="Arial Narrow"/>
        <family val="2"/>
      </rPr>
      <t>USHE institutions are reported at the 12 credit hour per semester for 2 semester rate, instead of 10 credit hours per semester as shown on Table 6.</t>
    </r>
  </si>
  <si>
    <t>2018-19 WICHE* and Rocky Mountain** States Utah Resident and Non-Resident Undergraduate Students Tuition &amp; Fee*** Comparisons</t>
  </si>
  <si>
    <t>2018-19 WICHE* and Rocky Mountain** States Utah Resident and Non-Resident Graduate Students Tuition &amp; Fee*** Comparisons</t>
  </si>
  <si>
    <t>2019-20 Tuition Uses</t>
  </si>
  <si>
    <t>Utah System of Higher Education Tuition Increase Proposal</t>
  </si>
  <si>
    <t>Institutional Tuition Increase Proposal</t>
  </si>
  <si>
    <r>
      <t xml:space="preserve">  </t>
    </r>
    <r>
      <rPr>
        <b/>
        <sz val="11"/>
        <rFont val="Arial Narrow"/>
        <family val="2"/>
      </rPr>
      <t>Total U of U</t>
    </r>
  </si>
  <si>
    <r>
      <t xml:space="preserve">  </t>
    </r>
    <r>
      <rPr>
        <b/>
        <sz val="11"/>
        <rFont val="Arial Narrow"/>
        <family val="2"/>
      </rPr>
      <t>Total USU</t>
    </r>
  </si>
  <si>
    <r>
      <t xml:space="preserve">  </t>
    </r>
    <r>
      <rPr>
        <b/>
        <sz val="11"/>
        <rFont val="Arial Narrow"/>
        <family val="2"/>
      </rPr>
      <t>Total WSU</t>
    </r>
  </si>
  <si>
    <r>
      <t xml:space="preserve">  </t>
    </r>
    <r>
      <rPr>
        <b/>
        <sz val="11"/>
        <rFont val="Arial Narrow"/>
        <family val="2"/>
      </rPr>
      <t>Total SUU</t>
    </r>
  </si>
  <si>
    <r>
      <t xml:space="preserve">  </t>
    </r>
    <r>
      <rPr>
        <b/>
        <sz val="11"/>
        <rFont val="Arial Narrow"/>
        <family val="2"/>
      </rPr>
      <t>Total SC</t>
    </r>
  </si>
  <si>
    <r>
      <t xml:space="preserve">  </t>
    </r>
    <r>
      <rPr>
        <b/>
        <sz val="11"/>
        <rFont val="Arial Narrow"/>
        <family val="2"/>
      </rPr>
      <t>Total DSU</t>
    </r>
  </si>
  <si>
    <r>
      <t xml:space="preserve">  </t>
    </r>
    <r>
      <rPr>
        <b/>
        <sz val="11"/>
        <rFont val="Arial Narrow"/>
        <family val="2"/>
      </rPr>
      <t>Total UVU</t>
    </r>
  </si>
  <si>
    <r>
      <t xml:space="preserve">  </t>
    </r>
    <r>
      <rPr>
        <b/>
        <sz val="11"/>
        <color theme="1"/>
        <rFont val="Arial Narrow"/>
        <family val="2"/>
      </rPr>
      <t>Total SLCC</t>
    </r>
  </si>
  <si>
    <t>Consumer Price Index, Fiscal Years 2010-11 to 2017-18</t>
  </si>
  <si>
    <t>Higher Education Price Index, Fiscal Years 2010-11 to 2017-18</t>
  </si>
  <si>
    <t>WICHE Region Tuition &amp; Fee Increases at Public Institutions, Fiscal Years 2010-11 to 2018-19</t>
  </si>
  <si>
    <t>USHE Undergraduate Resident and Nonresident Tuition Increases, Fiscal Years 2010-11 to 2018-19</t>
  </si>
  <si>
    <t>(2) The systemwide first-tier increase is shown for 2010-11 through 2018-19.  This amount applied to all institutions.  Institutional amounts include both first and</t>
  </si>
  <si>
    <t xml:space="preserve">Undergraduate amount based on 15 credit hours and graduate amount based on 10 credit hours per semester for fall and spring semesters. </t>
  </si>
  <si>
    <t>Current 2018-19 Annual Tuition</t>
  </si>
  <si>
    <t>R510-5.1. Undergraduate nonresident shall be set at no less than three times the institutional undergraduate resident tuition rate. The Board may grant exceptions on a case-by-case basis. R510-5.2. Tuition for resident and nonresident graduate students will be set at no less than 110 percent of tuition for undergraduate students.</t>
  </si>
  <si>
    <t>Proposed 2019-20 Annual Tuition</t>
  </si>
  <si>
    <t xml:space="preserve">Prepared by: </t>
  </si>
  <si>
    <t xml:space="preserve">Due Date: </t>
  </si>
  <si>
    <t>Current Year Tuition Budget</t>
  </si>
  <si>
    <t>Current 2018-19 Percentage</t>
  </si>
  <si>
    <t>Proposed 2019-20 Percentage</t>
  </si>
  <si>
    <t>Line Item</t>
  </si>
  <si>
    <t>Education &amp; General</t>
  </si>
  <si>
    <t>Regent Policy     R510-5.1 and 5.2</t>
  </si>
  <si>
    <t>Proposed Compared to Regents Policy</t>
  </si>
  <si>
    <t>"[Institution Number &amp; Name] [Form Number &amp; Name]"    ex:  "01 UU R-4 Tuition Proposal"</t>
  </si>
  <si>
    <t>Submit supporting documentation from Board of Trustees and Student Leadership Councils</t>
  </si>
  <si>
    <t>4.35% Health Insurance</t>
  </si>
  <si>
    <t xml:space="preserve">(d) </t>
  </si>
  <si>
    <t xml:space="preserve">(e) </t>
  </si>
  <si>
    <t>(f)</t>
  </si>
  <si>
    <t>DSU significantly higher due to having only one program masters program (accountancy) that is higher than most base graduate rates</t>
  </si>
  <si>
    <t>Logan</t>
  </si>
  <si>
    <t>Eastern</t>
  </si>
  <si>
    <t>Uintah Basin</t>
  </si>
  <si>
    <t>Brigham City</t>
  </si>
  <si>
    <t>Tooele</t>
  </si>
  <si>
    <t>Blanding</t>
  </si>
  <si>
    <t>USHE 2018-19</t>
  </si>
  <si>
    <t>2009-10 through 2018-19</t>
  </si>
  <si>
    <t>Ten Year Comparisons, 1978-79 to 2018-19</t>
  </si>
  <si>
    <t>Internal Service Funds (Attorney General)</t>
  </si>
  <si>
    <t>Truth-in-Tuition Hearing:</t>
  </si>
  <si>
    <t>Student Leadership Review:</t>
  </si>
  <si>
    <t>Presidents Cabinet Review:</t>
  </si>
  <si>
    <t>Trustees Approval:</t>
  </si>
  <si>
    <t>Proposed New Tuition Revenue</t>
  </si>
  <si>
    <t>$ Impact</t>
  </si>
  <si>
    <t>B. Undergraduate &amp; Graduate Students by Residency</t>
  </si>
  <si>
    <t>C. Tuition Ratios</t>
  </si>
  <si>
    <t>Estimated Per Student FTE Impact</t>
  </si>
  <si>
    <t>Annual Tuition Review</t>
  </si>
  <si>
    <t>Section 1: Appropriated Instructional Expense Budgets Financial Overview</t>
  </si>
  <si>
    <t>Actual FY18
Expenses</t>
  </si>
  <si>
    <t>Est. FY19
Expenses (+5%)</t>
  </si>
  <si>
    <t>Cost per
FY18 Annualized
Total Headcount</t>
  </si>
  <si>
    <t>Cost per
FY18 Annualized
Student FTE</t>
  </si>
  <si>
    <t>Cost per
FY18 
Total Awards</t>
  </si>
  <si>
    <t>Est. Cost per
Est. FY19 
Student FTE (+2%)</t>
  </si>
  <si>
    <t>Est. Cost per
FY19 Total 
Awards (+2%)</t>
  </si>
  <si>
    <t>Tuition Funds</t>
  </si>
  <si>
    <t>Other Funds</t>
  </si>
  <si>
    <t>Total All Instructional Lines</t>
  </si>
  <si>
    <t>Instructional Line Item</t>
  </si>
  <si>
    <t>Est. FY19
Student FTE</t>
  </si>
  <si>
    <t>% Share
Tax Funds</t>
  </si>
  <si>
    <t>% Share
Tuition</t>
  </si>
  <si>
    <t>Total Institution</t>
  </si>
  <si>
    <t>Estimated Funds per FTE</t>
  </si>
  <si>
    <t>Section 3: Institution Budget Request vs. New Legislative Appropriations</t>
  </si>
  <si>
    <t>Board Approved Budget Request</t>
  </si>
  <si>
    <t>Compensation / ISF Rates</t>
  </si>
  <si>
    <t>Legislative Priorities</t>
  </si>
  <si>
    <t>Other Non Instructional Funds</t>
  </si>
  <si>
    <t>% of Board Budget Request Funded</t>
  </si>
  <si>
    <t>Total  New Dollars</t>
  </si>
  <si>
    <t>% Increase over Prior Year</t>
  </si>
  <si>
    <t>Board's Goal</t>
  </si>
  <si>
    <t>Legislative Approved Increase in Tuition Revenue</t>
  </si>
  <si>
    <t>Legislative Approved Increase in Tax Funds</t>
  </si>
  <si>
    <t>Total Increase</t>
  </si>
  <si>
    <t>FY18 Rate</t>
  </si>
  <si>
    <t>FY19 Rate</t>
  </si>
  <si>
    <t>$ Increase</t>
  </si>
  <si>
    <t>CPI</t>
  </si>
  <si>
    <t>HEPI</t>
  </si>
  <si>
    <t>WICHE</t>
  </si>
  <si>
    <t>Section 5:  Tuition and Fee Information Comparisons</t>
  </si>
  <si>
    <t>Number of Schools</t>
  </si>
  <si>
    <t>USHE School Rank</t>
  </si>
  <si>
    <t>WICHE Schools</t>
  </si>
  <si>
    <t>Rocky Mountain Schools</t>
  </si>
  <si>
    <t>Legislative Outomes</t>
  </si>
  <si>
    <t>Est. Cost per
 FY19 Total 
Headcount (+2%)</t>
  </si>
  <si>
    <t>Section 2: New Year Appropriated Instructional Revenue Budgets Financial Overview (Post Legislative Session)</t>
  </si>
  <si>
    <t>Institution Budget Request</t>
  </si>
  <si>
    <t>Max Tuition</t>
  </si>
  <si>
    <t>Min Tuition</t>
  </si>
  <si>
    <t>Average Tuition</t>
  </si>
  <si>
    <t>% of Median Household Income</t>
  </si>
  <si>
    <t>Peer Group</t>
  </si>
  <si>
    <t>Section 4:  Basic Tuition &amp; Fee Information</t>
  </si>
  <si>
    <t>Annual Undergraduate Resident Tuition &amp; Fee Rate</t>
  </si>
  <si>
    <t>Sources:</t>
  </si>
  <si>
    <t>Section 2: Data Book Tab C Table 10; A-1 Budget</t>
  </si>
  <si>
    <t>Section 3: Regents Approved Operating Budget Request; S-10 Budget; ISF Bill; LFA Legislative Action Worksheet</t>
  </si>
  <si>
    <t>Section 4: Data Book Tab E Table 3; Bureau of Labor Statistics (January-December) Consumer Price Index); Higher Education Price Index; USHE Access Metric</t>
  </si>
  <si>
    <t>Education &amp; General - Logan</t>
  </si>
  <si>
    <t>Education &amp; General - Eastern</t>
  </si>
  <si>
    <t>Southeastern</t>
  </si>
  <si>
    <t>Uintah</t>
  </si>
  <si>
    <t>School of Medicine</t>
  </si>
  <si>
    <t>School of Dentistry</t>
  </si>
  <si>
    <t>Carnegie Classification</t>
  </si>
  <si>
    <t>Section 5: WICHE Tuition &amp; Fees in Public Higher Education in the West; Data Book Tab E Table 8; IPEDS FY18 Tuition</t>
  </si>
  <si>
    <t>Select your institution from the drop down menu and enter preparer. Enter dates for Truth-in-Tuition hearing, Student Leadership review, Presidents Cabinet, and Trustees approval.  Select the line item for which this page represents and current year tuition budget.</t>
  </si>
  <si>
    <t>Section 1: A-1 Actual E&amp;G Logan,E&amp;G Eastern,Uintah,Southeastern,Brigham City,Tooele,Blanding; USHE EOY Enrollment Report Table 6; Data Book Tab C Table 2; Data Book Tab B all degrees (table 2)</t>
  </si>
  <si>
    <t>Section 1: A-1 Actual E&amp;G; USHE EOY Enrollment Report Table 6; Data Book Tab C Table 2; Data Book Tab B all degrees (table 2)</t>
  </si>
  <si>
    <t>No Tuition Increase</t>
  </si>
  <si>
    <t xml:space="preserve">FORM R-4: 2019-20 PROPOSED NEW TUITION REVENUE </t>
  </si>
  <si>
    <t>Option 4: Allow Tuition Adjustments to the Approved % of Median Household Income</t>
  </si>
  <si>
    <t>Description</t>
  </si>
  <si>
    <t>Option 2: No Tuition Increase - All new costs will be covered through reallocation, cost savings, and efficiency efforts</t>
  </si>
  <si>
    <t>Option 3: Legislative Match Funds Only -  All new match funds will be covered by new revenue</t>
  </si>
  <si>
    <t>Option 1 - Institution Proposed - Increase other than options 2, 3 or 4</t>
  </si>
  <si>
    <t>If your institutions proposed tuition increases is the same as either options 2, 3, or 4, then option 1 does not need to be completed.</t>
  </si>
  <si>
    <t>Collect four proposed new tuition revenue options for the Board of Regents to consider.  Data includes description by revenue category, estimated revenue, per student FTE $ impact, and description of how the increase impacts student access, retention, and completion rates.  Form information for all options needs to be completed so that a summary can be presented for Board of Regents approval as stated in USHE policy R510.</t>
  </si>
  <si>
    <t>Enter description, proposed new tuition revenue, and estimated per student FTE $ impact for options 1, 3, and 4.  Enter a detailed explanation for how the rate increase will impact student access, retention and completion rates for ALL options. Calculate the estimated per student FTE $ impact by dividing the proposed new tuition revenue by student FTE from the institutional worksheet section 2.</t>
  </si>
  <si>
    <t>Only E&amp;G?</t>
  </si>
  <si>
    <t>Impact on Student Access, Retention, and Completion Rates: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</si>
</sst>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$-409]mmmm\ d\,\ yyyy;@"/>
    <numFmt numFmtId="167" formatCode="#,##0.0_);\(#,##0.0\)"/>
    <numFmt numFmtId="168" formatCode="_(&quot;$&quot;* #,##0_);_(&quot;$&quot;* \(#,##0\);_(&quot;$&quot;* &quot;-&quot;??_);_(@_)"/>
    <numFmt numFmtId="169" formatCode="_(* #,##0.0_);_(* \(#,##0.0\);_(* &quot;-&quot;?_);_(@_)"/>
    <numFmt numFmtId="170" formatCode="_(* #,##0_);_(* \(#,##0\);_(* &quot;-&quot;??_);_(@_)"/>
    <numFmt numFmtId="171" formatCode="&quot;$&quot;#,##0.00"/>
    <numFmt numFmtId="172" formatCode="m/d/yy;@"/>
    <numFmt numFmtId="173" formatCode="&quot;$&quot;??,???"/>
    <numFmt numFmtId="174" formatCode="0.0"/>
    <numFmt numFmtId="175" formatCode="#,##0.000_);\(#,##0.000\)"/>
    <numFmt numFmtId="176" formatCode="??"/>
    <numFmt numFmtId="177" formatCode="??0%"/>
    <numFmt numFmtId="178" formatCode="??,???"/>
  </numFmts>
  <fonts count="87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sz val="9"/>
      <color theme="1"/>
      <name val="Arial Narrow"/>
      <family val="2"/>
    </font>
    <font>
      <sz val="8"/>
      <color theme="1"/>
      <name val="Arial Narrow"/>
      <family val="2"/>
    </font>
    <font>
      <sz val="10"/>
      <name val="Trebuchet MS"/>
      <family val="2"/>
    </font>
    <font>
      <sz val="10"/>
      <name val="Arial Narrow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6"/>
      <color theme="1"/>
      <name val="Arial Narrow"/>
      <family val="2"/>
    </font>
    <font>
      <b/>
      <sz val="12"/>
      <color theme="1"/>
      <name val="Arial Narrow"/>
      <family val="2"/>
    </font>
    <font>
      <b/>
      <sz val="14"/>
      <name val="Arial Narrow"/>
      <family val="2"/>
    </font>
    <font>
      <b/>
      <i/>
      <sz val="11"/>
      <name val="Arial Narrow"/>
      <family val="2"/>
    </font>
    <font>
      <i/>
      <sz val="11"/>
      <name val="Arial Narrow"/>
      <family val="2"/>
    </font>
    <font>
      <sz val="11"/>
      <name val="Arial Narrow"/>
      <family val="2"/>
    </font>
    <font>
      <i/>
      <sz val="8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vertAlign val="superscript"/>
      <sz val="11"/>
      <name val="Arial Narrow"/>
      <family val="2"/>
    </font>
    <font>
      <b/>
      <vertAlign val="superscript"/>
      <sz val="11"/>
      <name val="Arial Narrow"/>
      <family val="2"/>
    </font>
    <font>
      <i/>
      <sz val="10"/>
      <name val="Arial Narrow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6"/>
      <name val="Arial Narrow"/>
      <family val="2"/>
    </font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1"/>
      <color rgb="FFFF0000"/>
      <name val="Arial Narrow"/>
      <family val="2"/>
    </font>
    <font>
      <sz val="10"/>
      <name val="Arial"/>
      <family val="2"/>
    </font>
    <font>
      <vertAlign val="superscript"/>
      <sz val="10"/>
      <name val="Arial Narrow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perscript"/>
      <sz val="9"/>
      <color theme="1"/>
      <name val="Arial Narrow"/>
      <family val="2"/>
    </font>
    <font>
      <sz val="12"/>
      <color rgb="FFFF0000"/>
      <name val="Arial Narrow"/>
      <family val="2"/>
    </font>
    <font>
      <i/>
      <sz val="9"/>
      <name val="Arial Narrow"/>
      <family val="2"/>
    </font>
    <font>
      <sz val="9"/>
      <name val="Arial Narrow"/>
      <family val="2"/>
    </font>
    <font>
      <b/>
      <i/>
      <sz val="18"/>
      <color indexed="12"/>
      <name val="Arial Narrow"/>
      <family val="2"/>
    </font>
    <font>
      <b/>
      <i/>
      <sz val="10"/>
      <color indexed="12"/>
      <name val="Arial Narrow"/>
      <family val="2"/>
    </font>
    <font>
      <b/>
      <i/>
      <sz val="10"/>
      <name val="Arial Narrow"/>
      <family val="2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0"/>
      <color indexed="12"/>
      <name val="Arial Narrow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u/>
      <sz val="10"/>
      <name val="Arial Narrow"/>
      <family val="2"/>
    </font>
    <font>
      <b/>
      <sz val="10"/>
      <color rgb="FFFF0000"/>
      <name val="Arial Narrow"/>
      <family val="2"/>
    </font>
    <font>
      <i/>
      <sz val="12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  <font>
      <sz val="10"/>
      <color rgb="FFFF0000"/>
      <name val="Arial Narrow"/>
      <family val="2"/>
    </font>
    <font>
      <sz val="14"/>
      <name val="Arial Narrow"/>
      <family val="2"/>
    </font>
    <font>
      <u/>
      <sz val="10"/>
      <name val="Arial Narrow"/>
      <family val="2"/>
    </font>
    <font>
      <b/>
      <sz val="10"/>
      <color rgb="FF000000"/>
      <name val="Arial Narrow"/>
      <family val="2"/>
    </font>
    <font>
      <sz val="10"/>
      <name val="Times New Roman"/>
      <family val="1"/>
    </font>
    <font>
      <sz val="9"/>
      <color rgb="FF000000"/>
      <name val="Arial Narrow"/>
      <family val="2"/>
    </font>
    <font>
      <sz val="10"/>
      <color rgb="FF000000"/>
      <name val="Arial Narrow"/>
      <family val="2"/>
    </font>
    <font>
      <sz val="10"/>
      <color theme="6" tint="-0.499984740745262"/>
      <name val="Arial Narrow"/>
      <family val="2"/>
    </font>
    <font>
      <sz val="8"/>
      <color rgb="FF000000"/>
      <name val="Arial Narrow"/>
      <family val="2"/>
    </font>
    <font>
      <b/>
      <vertAlign val="superscript"/>
      <sz val="12"/>
      <name val="Arial Narrow"/>
      <family val="2"/>
    </font>
    <font>
      <b/>
      <i/>
      <sz val="10"/>
      <color indexed="10"/>
      <name val="Arial"/>
      <family val="2"/>
    </font>
    <font>
      <sz val="10"/>
      <color theme="5"/>
      <name val="Arial Narrow"/>
      <family val="2"/>
    </font>
    <font>
      <sz val="11"/>
      <color theme="5"/>
      <name val="Arial Narrow"/>
      <family val="2"/>
    </font>
    <font>
      <b/>
      <i/>
      <sz val="12"/>
      <name val="Arial Narrow"/>
      <family val="2"/>
    </font>
    <font>
      <sz val="10"/>
      <color rgb="FFFF0000"/>
      <name val="Arial"/>
      <family val="2"/>
    </font>
    <font>
      <i/>
      <sz val="11"/>
      <color theme="1"/>
      <name val="Arial Narrow"/>
      <family val="2"/>
    </font>
  </fonts>
  <fills count="52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14999847407452621"/>
        <bgColor indexed="2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47">
    <xf numFmtId="0" fontId="0" fillId="0" borderId="0"/>
    <xf numFmtId="0" fontId="7" fillId="0" borderId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10" fillId="3" borderId="0"/>
    <xf numFmtId="5" fontId="9" fillId="0" borderId="0" applyFont="0" applyFill="0" applyBorder="0" applyAlignment="0" applyProtection="0"/>
    <xf numFmtId="14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0" fontId="8" fillId="0" borderId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5" fontId="9" fillId="3" borderId="0" applyFont="0" applyFill="0" applyBorder="0" applyAlignment="0" applyProtection="0"/>
    <xf numFmtId="0" fontId="28" fillId="0" borderId="0"/>
    <xf numFmtId="0" fontId="9" fillId="0" borderId="0"/>
    <xf numFmtId="0" fontId="28" fillId="0" borderId="0"/>
    <xf numFmtId="0" fontId="8" fillId="0" borderId="0"/>
    <xf numFmtId="0" fontId="28" fillId="0" borderId="0"/>
    <xf numFmtId="0" fontId="28" fillId="7" borderId="16" applyNumberFormat="0" applyFont="0" applyAlignment="0" applyProtection="0"/>
    <xf numFmtId="0" fontId="28" fillId="7" borderId="16" applyNumberFormat="0" applyFont="0" applyAlignment="0" applyProtection="0"/>
    <xf numFmtId="0" fontId="28" fillId="7" borderId="16" applyNumberFormat="0" applyFont="0" applyAlignment="0" applyProtection="0"/>
    <xf numFmtId="9" fontId="28" fillId="0" borderId="0" applyFont="0" applyFill="0" applyBorder="0" applyAlignment="0" applyProtection="0"/>
    <xf numFmtId="0" fontId="7" fillId="0" borderId="0"/>
    <xf numFmtId="0" fontId="31" fillId="0" borderId="0"/>
    <xf numFmtId="0" fontId="33" fillId="0" borderId="0" applyNumberFormat="0" applyFill="0" applyBorder="0" applyAlignment="0" applyProtection="0"/>
    <xf numFmtId="0" fontId="34" fillId="0" borderId="19" applyNumberFormat="0" applyFill="0" applyAlignment="0" applyProtection="0"/>
    <xf numFmtId="0" fontId="35" fillId="0" borderId="20" applyNumberFormat="0" applyFill="0" applyAlignment="0" applyProtection="0"/>
    <xf numFmtId="0" fontId="36" fillId="0" borderId="21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22" applyNumberFormat="0" applyAlignment="0" applyProtection="0"/>
    <xf numFmtId="0" fontId="41" fillId="26" borderId="23" applyNumberFormat="0" applyAlignment="0" applyProtection="0"/>
    <xf numFmtId="0" fontId="42" fillId="26" borderId="22" applyNumberFormat="0" applyAlignment="0" applyProtection="0"/>
    <xf numFmtId="0" fontId="43" fillId="0" borderId="24" applyNumberFormat="0" applyFill="0" applyAlignment="0" applyProtection="0"/>
    <xf numFmtId="0" fontId="44" fillId="27" borderId="2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26" applyNumberFormat="0" applyFill="0" applyAlignment="0" applyProtection="0"/>
    <xf numFmtId="0" fontId="48" fillId="2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48" fillId="33" borderId="0" applyNumberFormat="0" applyBorder="0" applyAlignment="0" applyProtection="0"/>
    <xf numFmtId="0" fontId="48" fillId="3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48" fillId="35" borderId="0" applyNumberFormat="0" applyBorder="0" applyAlignment="0" applyProtection="0"/>
    <xf numFmtId="0" fontId="48" fillId="3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48" fillId="39" borderId="0" applyNumberFormat="0" applyBorder="0" applyAlignment="0" applyProtection="0"/>
    <xf numFmtId="9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8" fillId="0" borderId="0"/>
    <xf numFmtId="0" fontId="8" fillId="0" borderId="0"/>
    <xf numFmtId="44" fontId="8" fillId="0" borderId="0" applyFont="0" applyFill="0" applyBorder="0" applyAlignment="0" applyProtection="0"/>
    <xf numFmtId="0" fontId="9" fillId="0" borderId="0">
      <alignment vertical="top"/>
    </xf>
    <xf numFmtId="10" fontId="9" fillId="3" borderId="0" applyFont="0" applyFill="0" applyBorder="0" applyAlignment="0" applyProtection="0"/>
    <xf numFmtId="3" fontId="9" fillId="3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56" fillId="3" borderId="0" applyFont="0" applyFill="0" applyBorder="0" applyAlignment="0" applyProtection="0"/>
    <xf numFmtId="0" fontId="56" fillId="3" borderId="0" applyFont="0" applyFill="0" applyBorder="0" applyAlignment="0" applyProtection="0"/>
    <xf numFmtId="0" fontId="57" fillId="3" borderId="0" applyFont="0" applyFill="0" applyBorder="0" applyAlignment="0" applyProtection="0"/>
    <xf numFmtId="0" fontId="57" fillId="3" borderId="0" applyFont="0" applyFill="0" applyBorder="0" applyAlignment="0" applyProtection="0"/>
    <xf numFmtId="0" fontId="28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9" fillId="3" borderId="0" applyFont="0" applyFill="0" applyBorder="0" applyAlignment="0" applyProtection="0"/>
    <xf numFmtId="0" fontId="9" fillId="3" borderId="0" applyFont="0" applyFill="0" applyBorder="0" applyAlignment="0" applyProtection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37" fontId="59" fillId="0" borderId="0"/>
    <xf numFmtId="0" fontId="9" fillId="0" borderId="0"/>
    <xf numFmtId="43" fontId="59" fillId="0" borderId="0" applyFont="0" applyFill="0" applyBorder="0" applyAlignment="0" applyProtection="0"/>
    <xf numFmtId="0" fontId="9" fillId="0" borderId="0">
      <alignment vertical="top"/>
    </xf>
    <xf numFmtId="0" fontId="9" fillId="0" borderId="0"/>
    <xf numFmtId="3" fontId="9" fillId="3" borderId="0"/>
    <xf numFmtId="0" fontId="9" fillId="0" borderId="0"/>
  </cellStyleXfs>
  <cellXfs count="1125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1" xfId="0" applyFont="1" applyBorder="1"/>
    <xf numFmtId="0" fontId="2" fillId="0" borderId="1" xfId="0" applyFont="1" applyBorder="1"/>
    <xf numFmtId="164" fontId="2" fillId="0" borderId="0" xfId="0" applyNumberFormat="1" applyFont="1"/>
    <xf numFmtId="165" fontId="2" fillId="0" borderId="1" xfId="0" applyNumberFormat="1" applyFont="1" applyBorder="1"/>
    <xf numFmtId="165" fontId="2" fillId="0" borderId="0" xfId="0" applyNumberFormat="1" applyFont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165" fontId="2" fillId="0" borderId="3" xfId="0" applyNumberFormat="1" applyFont="1" applyBorder="1"/>
    <xf numFmtId="165" fontId="2" fillId="0" borderId="5" xfId="0" applyNumberFormat="1" applyFont="1" applyBorder="1"/>
    <xf numFmtId="164" fontId="2" fillId="0" borderId="3" xfId="0" applyNumberFormat="1" applyFont="1" applyBorder="1"/>
    <xf numFmtId="164" fontId="2" fillId="0" borderId="5" xfId="0" applyNumberFormat="1" applyFont="1" applyBorder="1"/>
    <xf numFmtId="165" fontId="2" fillId="0" borderId="6" xfId="0" applyNumberFormat="1" applyFont="1" applyBorder="1"/>
    <xf numFmtId="165" fontId="2" fillId="0" borderId="8" xfId="0" applyNumberFormat="1" applyFont="1" applyBorder="1"/>
    <xf numFmtId="0" fontId="2" fillId="0" borderId="0" xfId="0" applyFont="1" applyBorder="1"/>
    <xf numFmtId="165" fontId="2" fillId="0" borderId="0" xfId="0" applyNumberFormat="1" applyFont="1" applyBorder="1"/>
    <xf numFmtId="164" fontId="2" fillId="0" borderId="0" xfId="0" applyNumberFormat="1" applyFont="1" applyBorder="1"/>
    <xf numFmtId="0" fontId="5" fillId="0" borderId="0" xfId="0" applyFont="1" applyBorder="1"/>
    <xf numFmtId="0" fontId="5" fillId="0" borderId="0" xfId="0" applyFont="1"/>
    <xf numFmtId="0" fontId="6" fillId="0" borderId="4" xfId="0" applyFont="1" applyBorder="1"/>
    <xf numFmtId="0" fontId="1" fillId="2" borderId="3" xfId="0" applyFont="1" applyFill="1" applyBorder="1"/>
    <xf numFmtId="165" fontId="1" fillId="2" borderId="2" xfId="0" applyNumberFormat="1" applyFont="1" applyFill="1" applyBorder="1" applyAlignment="1">
      <alignment horizontal="center" wrapText="1"/>
    </xf>
    <xf numFmtId="164" fontId="1" fillId="2" borderId="2" xfId="0" applyNumberFormat="1" applyFont="1" applyFill="1" applyBorder="1" applyAlignment="1">
      <alignment horizontal="center" wrapText="1"/>
    </xf>
    <xf numFmtId="0" fontId="1" fillId="2" borderId="4" xfId="0" applyFont="1" applyFill="1" applyBorder="1"/>
    <xf numFmtId="0" fontId="1" fillId="2" borderId="5" xfId="0" applyFont="1" applyFill="1" applyBorder="1"/>
    <xf numFmtId="0" fontId="6" fillId="0" borderId="0" xfId="0" applyFont="1"/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/>
    <xf numFmtId="0" fontId="11" fillId="0" borderId="0" xfId="1" applyFont="1"/>
    <xf numFmtId="0" fontId="12" fillId="0" borderId="0" xfId="1" applyFont="1"/>
    <xf numFmtId="0" fontId="12" fillId="0" borderId="0" xfId="1" applyFont="1" applyFill="1"/>
    <xf numFmtId="0" fontId="1" fillId="4" borderId="0" xfId="0" applyFont="1" applyFill="1"/>
    <xf numFmtId="0" fontId="13" fillId="0" borderId="1" xfId="0" applyFont="1" applyBorder="1" applyAlignment="1">
      <alignment vertical="center"/>
    </xf>
    <xf numFmtId="0" fontId="8" fillId="0" borderId="0" xfId="1" applyFont="1" applyBorder="1"/>
    <xf numFmtId="0" fontId="8" fillId="0" borderId="0" xfId="1" applyFont="1" applyFill="1" applyBorder="1"/>
    <xf numFmtId="0" fontId="16" fillId="0" borderId="0" xfId="1" applyFont="1" applyFill="1" applyBorder="1"/>
    <xf numFmtId="0" fontId="17" fillId="0" borderId="0" xfId="1" applyFont="1" applyFill="1" applyBorder="1"/>
    <xf numFmtId="0" fontId="17" fillId="0" borderId="0" xfId="1" applyFont="1" applyBorder="1"/>
    <xf numFmtId="0" fontId="15" fillId="0" borderId="14" xfId="1" applyFont="1" applyFill="1" applyBorder="1"/>
    <xf numFmtId="0" fontId="18" fillId="0" borderId="14" xfId="1" applyFont="1" applyFill="1" applyBorder="1"/>
    <xf numFmtId="0" fontId="18" fillId="0" borderId="0" xfId="1" applyFont="1" applyFill="1" applyBorder="1"/>
    <xf numFmtId="0" fontId="18" fillId="0" borderId="0" xfId="1" applyFont="1" applyBorder="1"/>
    <xf numFmtId="0" fontId="18" fillId="0" borderId="0" xfId="1" applyFont="1" applyFill="1" applyBorder="1" applyAlignment="1">
      <alignment horizontal="center"/>
    </xf>
    <xf numFmtId="0" fontId="18" fillId="0" borderId="2" xfId="1" applyFont="1" applyFill="1" applyBorder="1" applyAlignment="1">
      <alignment horizontal="center" wrapText="1"/>
    </xf>
    <xf numFmtId="16" fontId="18" fillId="0" borderId="2" xfId="1" applyNumberFormat="1" applyFont="1" applyFill="1" applyBorder="1" applyAlignment="1">
      <alignment horizontal="center" wrapText="1"/>
    </xf>
    <xf numFmtId="0" fontId="18" fillId="0" borderId="0" xfId="1" applyFont="1" applyBorder="1" applyAlignment="1">
      <alignment horizontal="center"/>
    </xf>
    <xf numFmtId="167" fontId="18" fillId="0" borderId="0" xfId="1" applyNumberFormat="1" applyFont="1" applyFill="1" applyBorder="1"/>
    <xf numFmtId="167" fontId="18" fillId="0" borderId="0" xfId="1" applyNumberFormat="1" applyFont="1" applyBorder="1"/>
    <xf numFmtId="164" fontId="18" fillId="0" borderId="0" xfId="10" applyNumberFormat="1" applyFont="1" applyFill="1" applyBorder="1"/>
    <xf numFmtId="0" fontId="17" fillId="0" borderId="0" xfId="1" applyFont="1" applyFill="1" applyBorder="1" applyAlignment="1">
      <alignment horizontal="right"/>
    </xf>
    <xf numFmtId="0" fontId="19" fillId="0" borderId="0" xfId="1" applyFont="1" applyFill="1" applyBorder="1"/>
    <xf numFmtId="0" fontId="18" fillId="0" borderId="0" xfId="1" applyFont="1" applyFill="1" applyBorder="1" applyAlignment="1">
      <alignment horizontal="center" wrapText="1"/>
    </xf>
    <xf numFmtId="0" fontId="20" fillId="0" borderId="0" xfId="1" applyFont="1" applyFill="1" applyBorder="1"/>
    <xf numFmtId="0" fontId="20" fillId="0" borderId="0" xfId="1" applyFont="1" applyBorder="1"/>
    <xf numFmtId="0" fontId="18" fillId="0" borderId="3" xfId="1" applyFont="1" applyBorder="1" applyAlignment="1">
      <alignment horizontal="center"/>
    </xf>
    <xf numFmtId="0" fontId="7" fillId="0" borderId="0" xfId="1"/>
    <xf numFmtId="0" fontId="18" fillId="0" borderId="0" xfId="1" applyFont="1" applyBorder="1" applyAlignment="1">
      <alignment horizontal="center" wrapText="1"/>
    </xf>
    <xf numFmtId="0" fontId="18" fillId="0" borderId="2" xfId="1" applyFont="1" applyBorder="1" applyAlignment="1">
      <alignment horizontal="center" wrapText="1"/>
    </xf>
    <xf numFmtId="3" fontId="18" fillId="0" borderId="0" xfId="1" applyNumberFormat="1" applyFont="1" applyFill="1" applyBorder="1" applyAlignment="1">
      <alignment horizontal="center" wrapText="1"/>
    </xf>
    <xf numFmtId="41" fontId="18" fillId="0" borderId="0" xfId="1" applyNumberFormat="1" applyFont="1"/>
    <xf numFmtId="3" fontId="18" fillId="0" borderId="0" xfId="1" applyNumberFormat="1" applyFont="1" applyFill="1" applyBorder="1" applyAlignment="1">
      <alignment horizontal="center"/>
    </xf>
    <xf numFmtId="164" fontId="18" fillId="0" borderId="0" xfId="1" applyNumberFormat="1" applyFont="1" applyFill="1" applyBorder="1" applyAlignment="1">
      <alignment horizontal="center"/>
    </xf>
    <xf numFmtId="0" fontId="18" fillId="0" borderId="0" xfId="1" applyFont="1"/>
    <xf numFmtId="37" fontId="18" fillId="0" borderId="0" xfId="1" applyNumberFormat="1" applyFont="1" applyBorder="1"/>
    <xf numFmtId="5" fontId="18" fillId="0" borderId="0" xfId="1" applyNumberFormat="1" applyFont="1" applyFill="1" applyBorder="1"/>
    <xf numFmtId="5" fontId="18" fillId="0" borderId="0" xfId="1" applyNumberFormat="1" applyFont="1" applyBorder="1"/>
    <xf numFmtId="37" fontId="18" fillId="0" borderId="0" xfId="1" applyNumberFormat="1" applyFont="1" applyFill="1" applyBorder="1"/>
    <xf numFmtId="0" fontId="18" fillId="0" borderId="2" xfId="1" applyFont="1" applyBorder="1" applyAlignment="1">
      <alignment horizontal="center"/>
    </xf>
    <xf numFmtId="0" fontId="18" fillId="0" borderId="10" xfId="1" applyFont="1" applyBorder="1" applyAlignment="1">
      <alignment horizontal="center"/>
    </xf>
    <xf numFmtId="0" fontId="18" fillId="5" borderId="0" xfId="1" applyFont="1" applyFill="1" applyBorder="1"/>
    <xf numFmtId="0" fontId="18" fillId="5" borderId="0" xfId="1" quotePrefix="1" applyFont="1" applyFill="1" applyBorder="1" applyAlignment="1">
      <alignment horizontal="center"/>
    </xf>
    <xf numFmtId="164" fontId="18" fillId="5" borderId="15" xfId="10" quotePrefix="1" applyNumberFormat="1" applyFont="1" applyFill="1" applyBorder="1" applyAlignment="1">
      <alignment horizontal="center"/>
    </xf>
    <xf numFmtId="39" fontId="18" fillId="0" borderId="0" xfId="1" applyNumberFormat="1" applyFont="1" applyFill="1" applyBorder="1"/>
    <xf numFmtId="168" fontId="18" fillId="0" borderId="0" xfId="12" applyNumberFormat="1" applyFont="1" applyFill="1" applyBorder="1"/>
    <xf numFmtId="0" fontId="24" fillId="0" borderId="0" xfId="1" applyFont="1" applyAlignment="1">
      <alignment vertical="top"/>
    </xf>
    <xf numFmtId="0" fontId="24" fillId="0" borderId="0" xfId="1" applyFont="1" applyFill="1" applyBorder="1"/>
    <xf numFmtId="16" fontId="18" fillId="0" borderId="2" xfId="1" quotePrefix="1" applyNumberFormat="1" applyFont="1" applyFill="1" applyBorder="1" applyAlignment="1">
      <alignment horizontal="center" wrapText="1"/>
    </xf>
    <xf numFmtId="167" fontId="20" fillId="0" borderId="0" xfId="1" applyNumberFormat="1" applyFont="1" applyFill="1" applyBorder="1"/>
    <xf numFmtId="164" fontId="18" fillId="0" borderId="0" xfId="10" applyNumberFormat="1" applyFont="1" applyFill="1" applyBorder="1" applyAlignment="1">
      <alignment horizontal="right"/>
    </xf>
    <xf numFmtId="0" fontId="16" fillId="6" borderId="0" xfId="1" applyFont="1" applyFill="1" applyBorder="1"/>
    <xf numFmtId="0" fontId="17" fillId="6" borderId="0" xfId="1" applyFont="1" applyFill="1" applyBorder="1"/>
    <xf numFmtId="16" fontId="18" fillId="0" borderId="10" xfId="1" applyNumberFormat="1" applyFont="1" applyFill="1" applyBorder="1" applyAlignment="1">
      <alignment horizontal="center" wrapText="1"/>
    </xf>
    <xf numFmtId="0" fontId="18" fillId="0" borderId="2" xfId="1" applyFont="1" applyFill="1" applyBorder="1"/>
    <xf numFmtId="0" fontId="18" fillId="0" borderId="2" xfId="1" applyFont="1" applyFill="1" applyBorder="1" applyAlignment="1">
      <alignment horizontal="center"/>
    </xf>
    <xf numFmtId="16" fontId="18" fillId="0" borderId="0" xfId="1" applyNumberFormat="1" applyFont="1" applyFill="1" applyBorder="1" applyAlignment="1">
      <alignment horizontal="center" wrapText="1"/>
    </xf>
    <xf numFmtId="164" fontId="18" fillId="6" borderId="0" xfId="10" applyNumberFormat="1" applyFont="1" applyFill="1" applyBorder="1" applyAlignment="1">
      <alignment horizontal="right"/>
    </xf>
    <xf numFmtId="164" fontId="18" fillId="6" borderId="0" xfId="10" applyNumberFormat="1" applyFont="1" applyFill="1" applyBorder="1" applyAlignment="1">
      <alignment horizontal="left"/>
    </xf>
    <xf numFmtId="0" fontId="18" fillId="6" borderId="0" xfId="1" applyFont="1" applyFill="1" applyBorder="1"/>
    <xf numFmtId="16" fontId="18" fillId="0" borderId="2" xfId="1" quotePrefix="1" applyNumberFormat="1" applyFont="1" applyBorder="1" applyAlignment="1">
      <alignment horizontal="center" wrapText="1"/>
    </xf>
    <xf numFmtId="167" fontId="20" fillId="0" borderId="0" xfId="1" applyNumberFormat="1" applyFont="1" applyBorder="1"/>
    <xf numFmtId="164" fontId="18" fillId="0" borderId="0" xfId="10" applyNumberFormat="1" applyFont="1" applyBorder="1"/>
    <xf numFmtId="0" fontId="20" fillId="0" borderId="2" xfId="1" applyFont="1" applyFill="1" applyBorder="1" applyAlignment="1">
      <alignment horizontal="center" wrapText="1"/>
    </xf>
    <xf numFmtId="16" fontId="20" fillId="0" borderId="2" xfId="1" applyNumberFormat="1" applyFont="1" applyFill="1" applyBorder="1" applyAlignment="1">
      <alignment horizontal="center" wrapText="1"/>
    </xf>
    <xf numFmtId="0" fontId="20" fillId="0" borderId="2" xfId="1" applyFont="1" applyBorder="1" applyAlignment="1">
      <alignment horizontal="center"/>
    </xf>
    <xf numFmtId="0" fontId="20" fillId="0" borderId="2" xfId="1" applyFont="1" applyBorder="1" applyAlignment="1">
      <alignment horizontal="center" wrapText="1"/>
    </xf>
    <xf numFmtId="0" fontId="3" fillId="0" borderId="1" xfId="0" applyFont="1" applyBorder="1"/>
    <xf numFmtId="165" fontId="3" fillId="0" borderId="1" xfId="0" applyNumberFormat="1" applyFont="1" applyBorder="1"/>
    <xf numFmtId="0" fontId="27" fillId="0" borderId="1" xfId="1" applyFont="1" applyFill="1" applyBorder="1"/>
    <xf numFmtId="0" fontId="8" fillId="0" borderId="1" xfId="1" applyFont="1" applyBorder="1"/>
    <xf numFmtId="16" fontId="20" fillId="0" borderId="2" xfId="1" quotePrefix="1" applyNumberFormat="1" applyFont="1" applyFill="1" applyBorder="1" applyAlignment="1">
      <alignment horizontal="center" wrapText="1"/>
    </xf>
    <xf numFmtId="16" fontId="20" fillId="0" borderId="2" xfId="1" quotePrefix="1" applyNumberFormat="1" applyFont="1" applyBorder="1" applyAlignment="1">
      <alignment horizontal="center" wrapText="1"/>
    </xf>
    <xf numFmtId="0" fontId="8" fillId="0" borderId="0" xfId="43" applyFont="1"/>
    <xf numFmtId="44" fontId="8" fillId="0" borderId="0" xfId="15" applyNumberFormat="1" applyFont="1" applyAlignment="1">
      <alignment horizontal="center"/>
    </xf>
    <xf numFmtId="44" fontId="8" fillId="0" borderId="0" xfId="15" applyFont="1" applyAlignment="1">
      <alignment horizontal="center"/>
    </xf>
    <xf numFmtId="7" fontId="8" fillId="0" borderId="0" xfId="15" applyNumberFormat="1" applyFont="1" applyAlignment="1">
      <alignment horizontal="right"/>
    </xf>
    <xf numFmtId="39" fontId="8" fillId="0" borderId="0" xfId="15" applyNumberFormat="1" applyFont="1" applyAlignment="1">
      <alignment horizontal="right"/>
    </xf>
    <xf numFmtId="0" fontId="11" fillId="0" borderId="0" xfId="1" applyFont="1" applyFill="1"/>
    <xf numFmtId="165" fontId="1" fillId="20" borderId="12" xfId="0" applyNumberFormat="1" applyFont="1" applyFill="1" applyBorder="1"/>
    <xf numFmtId="0" fontId="2" fillId="20" borderId="12" xfId="0" applyFont="1" applyFill="1" applyBorder="1"/>
    <xf numFmtId="0" fontId="1" fillId="20" borderId="0" xfId="0" applyFont="1" applyFill="1"/>
    <xf numFmtId="164" fontId="18" fillId="0" borderId="4" xfId="0" applyNumberFormat="1" applyFont="1" applyBorder="1"/>
    <xf numFmtId="165" fontId="18" fillId="0" borderId="4" xfId="0" applyNumberFormat="1" applyFont="1" applyBorder="1"/>
    <xf numFmtId="165" fontId="18" fillId="0" borderId="7" xfId="0" applyNumberFormat="1" applyFont="1" applyBorder="1"/>
    <xf numFmtId="164" fontId="30" fillId="0" borderId="4" xfId="0" applyNumberFormat="1" applyFont="1" applyBorder="1"/>
    <xf numFmtId="165" fontId="30" fillId="0" borderId="4" xfId="0" applyNumberFormat="1" applyFont="1" applyBorder="1"/>
    <xf numFmtId="165" fontId="30" fillId="0" borderId="7" xfId="0" applyNumberFormat="1" applyFont="1" applyBorder="1"/>
    <xf numFmtId="0" fontId="30" fillId="0" borderId="0" xfId="0" applyFont="1"/>
    <xf numFmtId="0" fontId="2" fillId="0" borderId="0" xfId="0" applyFont="1"/>
    <xf numFmtId="0" fontId="1" fillId="0" borderId="0" xfId="0" applyFont="1"/>
    <xf numFmtId="165" fontId="2" fillId="0" borderId="0" xfId="0" applyNumberFormat="1" applyFont="1"/>
    <xf numFmtId="164" fontId="2" fillId="0" borderId="0" xfId="0" applyNumberFormat="1" applyFont="1"/>
    <xf numFmtId="0" fontId="20" fillId="4" borderId="0" xfId="0" applyFont="1" applyFill="1"/>
    <xf numFmtId="0" fontId="18" fillId="4" borderId="0" xfId="0" applyFont="1" applyFill="1"/>
    <xf numFmtId="165" fontId="20" fillId="4" borderId="0" xfId="0" applyNumberFormat="1" applyFont="1" applyFill="1"/>
    <xf numFmtId="164" fontId="18" fillId="4" borderId="0" xfId="0" applyNumberFormat="1" applyFont="1" applyFill="1"/>
    <xf numFmtId="0" fontId="18" fillId="20" borderId="12" xfId="0" applyFont="1" applyFill="1" applyBorder="1"/>
    <xf numFmtId="165" fontId="20" fillId="20" borderId="12" xfId="0" applyNumberFormat="1" applyFont="1" applyFill="1" applyBorder="1"/>
    <xf numFmtId="165" fontId="18" fillId="0" borderId="8" xfId="0" applyNumberFormat="1" applyFont="1" applyBorder="1"/>
    <xf numFmtId="165" fontId="18" fillId="0" borderId="5" xfId="0" applyNumberFormat="1" applyFont="1" applyBorder="1"/>
    <xf numFmtId="164" fontId="18" fillId="0" borderId="5" xfId="0" applyNumberFormat="1" applyFont="1" applyBorder="1"/>
    <xf numFmtId="0" fontId="18" fillId="4" borderId="12" xfId="0" applyFont="1" applyFill="1" applyBorder="1"/>
    <xf numFmtId="165" fontId="20" fillId="4" borderId="12" xfId="0" applyNumberFormat="1" applyFont="1" applyFill="1" applyBorder="1"/>
    <xf numFmtId="0" fontId="18" fillId="0" borderId="0" xfId="0" applyFont="1"/>
    <xf numFmtId="0" fontId="1" fillId="0" borderId="12" xfId="0" applyFont="1" applyBorder="1"/>
    <xf numFmtId="165" fontId="1" fillId="0" borderId="12" xfId="0" applyNumberFormat="1" applyFont="1" applyBorder="1" applyAlignment="1">
      <alignment horizontal="right"/>
    </xf>
    <xf numFmtId="164" fontId="1" fillId="0" borderId="12" xfId="0" applyNumberFormat="1" applyFont="1" applyBorder="1"/>
    <xf numFmtId="0" fontId="29" fillId="0" borderId="17" xfId="51" applyFont="1" applyBorder="1"/>
    <xf numFmtId="0" fontId="18" fillId="0" borderId="18" xfId="15" applyNumberFormat="1" applyFont="1" applyFill="1" applyBorder="1" applyAlignment="1">
      <alignment horizontal="right"/>
    </xf>
    <xf numFmtId="44" fontId="18" fillId="0" borderId="18" xfId="15" applyNumberFormat="1" applyFont="1" applyFill="1" applyBorder="1" applyAlignment="1">
      <alignment horizontal="right"/>
    </xf>
    <xf numFmtId="44" fontId="18" fillId="0" borderId="18" xfId="15" applyFont="1" applyBorder="1" applyAlignment="1">
      <alignment horizontal="right"/>
    </xf>
    <xf numFmtId="44" fontId="18" fillId="0" borderId="0" xfId="15" applyNumberFormat="1" applyFont="1" applyAlignment="1">
      <alignment horizontal="center"/>
    </xf>
    <xf numFmtId="44" fontId="18" fillId="0" borderId="0" xfId="15" applyFont="1" applyAlignment="1">
      <alignment horizontal="center"/>
    </xf>
    <xf numFmtId="0" fontId="18" fillId="0" borderId="18" xfId="15" applyNumberFormat="1" applyFont="1" applyBorder="1" applyAlignment="1">
      <alignment horizontal="right"/>
    </xf>
    <xf numFmtId="0" fontId="8" fillId="0" borderId="17" xfId="1" applyFont="1" applyBorder="1"/>
    <xf numFmtId="164" fontId="30" fillId="0" borderId="0" xfId="10" applyNumberFormat="1" applyFont="1" applyBorder="1"/>
    <xf numFmtId="166" fontId="14" fillId="0" borderId="1" xfId="0" applyNumberFormat="1" applyFont="1" applyBorder="1" applyAlignment="1">
      <alignment horizontal="right"/>
    </xf>
    <xf numFmtId="0" fontId="18" fillId="0" borderId="14" xfId="1" applyFont="1" applyBorder="1"/>
    <xf numFmtId="164" fontId="18" fillId="0" borderId="0" xfId="50" applyNumberFormat="1" applyFont="1" applyBorder="1"/>
    <xf numFmtId="0" fontId="20" fillId="0" borderId="0" xfId="0" applyFont="1"/>
    <xf numFmtId="165" fontId="18" fillId="0" borderId="0" xfId="0" applyNumberFormat="1" applyFont="1"/>
    <xf numFmtId="164" fontId="18" fillId="0" borderId="0" xfId="0" applyNumberFormat="1" applyFont="1"/>
    <xf numFmtId="164" fontId="18" fillId="0" borderId="4" xfId="0" applyNumberFormat="1" applyFont="1" applyFill="1" applyBorder="1"/>
    <xf numFmtId="164" fontId="18" fillId="4" borderId="0" xfId="50" applyNumberFormat="1" applyFont="1" applyFill="1"/>
    <xf numFmtId="0" fontId="0" fillId="0" borderId="0" xfId="0" applyFill="1"/>
    <xf numFmtId="164" fontId="18" fillId="0" borderId="0" xfId="0" applyNumberFormat="1" applyFont="1" applyFill="1"/>
    <xf numFmtId="0" fontId="49" fillId="0" borderId="0" xfId="1" applyFont="1"/>
    <xf numFmtId="0" fontId="49" fillId="0" borderId="0" xfId="1" applyFont="1" applyFill="1" applyBorder="1"/>
    <xf numFmtId="0" fontId="49" fillId="0" borderId="0" xfId="0" applyFont="1"/>
    <xf numFmtId="0" fontId="8" fillId="0" borderId="0" xfId="98" applyFont="1" applyFill="1" applyBorder="1" applyAlignment="1"/>
    <xf numFmtId="0" fontId="8" fillId="40" borderId="0" xfId="98" applyFont="1" applyFill="1" applyBorder="1" applyAlignment="1"/>
    <xf numFmtId="0" fontId="8" fillId="41" borderId="0" xfId="98" applyFont="1" applyFill="1" applyBorder="1" applyAlignment="1"/>
    <xf numFmtId="0" fontId="8" fillId="42" borderId="0" xfId="98" applyFont="1" applyFill="1" applyBorder="1" applyAlignment="1"/>
    <xf numFmtId="0" fontId="12" fillId="0" borderId="0" xfId="98" applyFont="1" applyFill="1" applyBorder="1" applyAlignment="1"/>
    <xf numFmtId="5" fontId="12" fillId="0" borderId="0" xfId="98" applyNumberFormat="1" applyFont="1" applyFill="1" applyBorder="1" applyAlignment="1"/>
    <xf numFmtId="0" fontId="17" fillId="0" borderId="0" xfId="98" applyFont="1" applyFill="1" applyBorder="1" applyAlignment="1"/>
    <xf numFmtId="37" fontId="17" fillId="0" borderId="0" xfId="98" applyNumberFormat="1" applyFont="1" applyFill="1" applyBorder="1" applyAlignment="1"/>
    <xf numFmtId="37" fontId="17" fillId="40" borderId="0" xfId="98" applyNumberFormat="1" applyFont="1" applyFill="1" applyBorder="1" applyAlignment="1"/>
    <xf numFmtId="37" fontId="17" fillId="42" borderId="0" xfId="98" applyNumberFormat="1" applyFont="1" applyFill="1" applyBorder="1" applyAlignment="1"/>
    <xf numFmtId="37" fontId="17" fillId="41" borderId="0" xfId="98" applyNumberFormat="1" applyFont="1" applyFill="1" applyBorder="1" applyAlignment="1"/>
    <xf numFmtId="0" fontId="12" fillId="0" borderId="18" xfId="98" applyFont="1" applyFill="1" applyBorder="1" applyAlignment="1"/>
    <xf numFmtId="164" fontId="12" fillId="0" borderId="18" xfId="98" applyNumberFormat="1" applyFont="1" applyFill="1" applyBorder="1" applyAlignment="1"/>
    <xf numFmtId="5" fontId="12" fillId="0" borderId="18" xfId="98" applyNumberFormat="1" applyFont="1" applyFill="1" applyBorder="1" applyAlignment="1"/>
    <xf numFmtId="164" fontId="12" fillId="0" borderId="18" xfId="99" applyNumberFormat="1" applyFont="1" applyFill="1" applyBorder="1" applyAlignment="1"/>
    <xf numFmtId="5" fontId="12" fillId="41" borderId="18" xfId="98" applyNumberFormat="1" applyFont="1" applyFill="1" applyBorder="1" applyAlignment="1"/>
    <xf numFmtId="37" fontId="12" fillId="40" borderId="18" xfId="98" applyNumberFormat="1" applyFont="1" applyFill="1" applyBorder="1" applyAlignment="1"/>
    <xf numFmtId="37" fontId="12" fillId="42" borderId="18" xfId="98" applyNumberFormat="1" applyFont="1" applyFill="1" applyBorder="1" applyAlignment="1"/>
    <xf numFmtId="10" fontId="12" fillId="0" borderId="18" xfId="99" applyFont="1" applyFill="1" applyBorder="1" applyAlignment="1"/>
    <xf numFmtId="37" fontId="12" fillId="0" borderId="18" xfId="98" applyNumberFormat="1" applyFont="1" applyFill="1" applyBorder="1" applyAlignment="1"/>
    <xf numFmtId="3" fontId="11" fillId="0" borderId="18" xfId="100" applyFont="1" applyFill="1" applyBorder="1" applyAlignment="1">
      <alignment horizontal="left"/>
    </xf>
    <xf numFmtId="0" fontId="12" fillId="40" borderId="0" xfId="98" applyFont="1" applyFill="1" applyBorder="1" applyAlignment="1"/>
    <xf numFmtId="0" fontId="12" fillId="42" borderId="0" xfId="98" applyFont="1" applyFill="1" applyBorder="1" applyAlignment="1"/>
    <xf numFmtId="164" fontId="12" fillId="0" borderId="0" xfId="98" applyNumberFormat="1" applyFont="1" applyFill="1" applyBorder="1" applyAlignment="1"/>
    <xf numFmtId="0" fontId="12" fillId="41" borderId="0" xfId="98" applyFont="1" applyFill="1" applyBorder="1" applyAlignment="1"/>
    <xf numFmtId="3" fontId="12" fillId="0" borderId="0" xfId="100" applyFont="1" applyFill="1" applyBorder="1" applyAlignment="1">
      <alignment horizontal="left"/>
    </xf>
    <xf numFmtId="0" fontId="12" fillId="0" borderId="27" xfId="98" applyFont="1" applyFill="1" applyBorder="1" applyAlignment="1"/>
    <xf numFmtId="164" fontId="12" fillId="0" borderId="27" xfId="10" applyNumberFormat="1" applyFont="1" applyFill="1" applyBorder="1" applyAlignment="1"/>
    <xf numFmtId="5" fontId="12" fillId="0" borderId="27" xfId="98" applyNumberFormat="1" applyFont="1" applyFill="1" applyBorder="1" applyAlignment="1"/>
    <xf numFmtId="37" fontId="12" fillId="0" borderId="27" xfId="98" applyNumberFormat="1" applyFont="1" applyFill="1" applyBorder="1" applyAlignment="1"/>
    <xf numFmtId="37" fontId="12" fillId="40" borderId="27" xfId="98" applyNumberFormat="1" applyFont="1" applyFill="1" applyBorder="1" applyAlignment="1"/>
    <xf numFmtId="37" fontId="12" fillId="42" borderId="27" xfId="98" applyNumberFormat="1" applyFont="1" applyFill="1" applyBorder="1" applyAlignment="1"/>
    <xf numFmtId="164" fontId="12" fillId="0" borderId="27" xfId="99" applyNumberFormat="1" applyFont="1" applyFill="1" applyBorder="1" applyAlignment="1"/>
    <xf numFmtId="5" fontId="12" fillId="41" borderId="27" xfId="98" applyNumberFormat="1" applyFont="1" applyFill="1" applyBorder="1" applyAlignment="1"/>
    <xf numFmtId="10" fontId="12" fillId="0" borderId="27" xfId="99" applyFont="1" applyFill="1" applyBorder="1" applyAlignment="1"/>
    <xf numFmtId="0" fontId="11" fillId="0" borderId="27" xfId="98" applyFont="1" applyFill="1" applyBorder="1" applyAlignment="1"/>
    <xf numFmtId="37" fontId="12" fillId="0" borderId="0" xfId="98" applyNumberFormat="1" applyFont="1" applyFill="1" applyBorder="1" applyAlignment="1"/>
    <xf numFmtId="164" fontId="12" fillId="0" borderId="0" xfId="10" applyNumberFormat="1" applyFont="1" applyFill="1" applyBorder="1" applyAlignment="1"/>
    <xf numFmtId="37" fontId="12" fillId="40" borderId="0" xfId="98" applyNumberFormat="1" applyFont="1" applyFill="1" applyBorder="1" applyAlignment="1"/>
    <xf numFmtId="37" fontId="12" fillId="42" borderId="0" xfId="98" applyNumberFormat="1" applyFont="1" applyFill="1" applyBorder="1" applyAlignment="1"/>
    <xf numFmtId="164" fontId="12" fillId="0" borderId="0" xfId="99" applyNumberFormat="1" applyFont="1" applyFill="1" applyBorder="1" applyAlignment="1"/>
    <xf numFmtId="37" fontId="12" fillId="41" borderId="0" xfId="98" applyNumberFormat="1" applyFont="1" applyFill="1" applyBorder="1" applyAlignment="1"/>
    <xf numFmtId="10" fontId="12" fillId="0" borderId="0" xfId="99" applyFont="1" applyFill="1" applyBorder="1" applyAlignment="1"/>
    <xf numFmtId="3" fontId="11" fillId="0" borderId="0" xfId="100" applyFont="1" applyFill="1" applyBorder="1" applyAlignment="1">
      <alignment horizontal="left"/>
    </xf>
    <xf numFmtId="164" fontId="12" fillId="43" borderId="0" xfId="10" applyNumberFormat="1" applyFont="1" applyFill="1" applyBorder="1" applyAlignment="1"/>
    <xf numFmtId="5" fontId="12" fillId="43" borderId="0" xfId="98" applyNumberFormat="1" applyFont="1" applyFill="1" applyBorder="1" applyAlignment="1"/>
    <xf numFmtId="37" fontId="12" fillId="43" borderId="0" xfId="98" applyNumberFormat="1" applyFont="1" applyFill="1" applyBorder="1" applyAlignment="1"/>
    <xf numFmtId="0" fontId="12" fillId="43" borderId="0" xfId="98" applyFont="1" applyFill="1" applyBorder="1" applyAlignment="1"/>
    <xf numFmtId="164" fontId="12" fillId="43" borderId="0" xfId="99" applyNumberFormat="1" applyFont="1" applyFill="1" applyBorder="1" applyAlignment="1"/>
    <xf numFmtId="3" fontId="12" fillId="43" borderId="0" xfId="98" applyNumberFormat="1" applyFont="1" applyFill="1" applyBorder="1" applyAlignment="1"/>
    <xf numFmtId="10" fontId="12" fillId="43" borderId="0" xfId="99" applyFont="1" applyFill="1" applyBorder="1" applyAlignment="1"/>
    <xf numFmtId="0" fontId="11" fillId="0" borderId="0" xfId="98" applyFont="1" applyFill="1" applyBorder="1" applyAlignment="1"/>
    <xf numFmtId="164" fontId="8" fillId="0" borderId="0" xfId="10" applyNumberFormat="1" applyFont="1" applyFill="1" applyBorder="1" applyAlignment="1"/>
    <xf numFmtId="5" fontId="8" fillId="0" borderId="0" xfId="98" applyNumberFormat="1" applyFont="1" applyFill="1" applyBorder="1" applyAlignment="1"/>
    <xf numFmtId="37" fontId="8" fillId="0" borderId="0" xfId="98" applyNumberFormat="1" applyFont="1" applyFill="1" applyBorder="1" applyAlignment="1"/>
    <xf numFmtId="0" fontId="29" fillId="44" borderId="14" xfId="98" applyFont="1" applyFill="1" applyBorder="1" applyAlignment="1"/>
    <xf numFmtId="5" fontId="12" fillId="41" borderId="0" xfId="98" applyNumberFormat="1" applyFont="1" applyFill="1" applyBorder="1" applyAlignment="1"/>
    <xf numFmtId="3" fontId="11" fillId="0" borderId="0" xfId="100" applyFont="1" applyFill="1" applyBorder="1" applyAlignment="1"/>
    <xf numFmtId="3" fontId="8" fillId="0" borderId="0" xfId="98" applyNumberFormat="1" applyFont="1" applyFill="1" applyBorder="1" applyAlignment="1"/>
    <xf numFmtId="3" fontId="29" fillId="0" borderId="0" xfId="100" applyFont="1" applyFill="1" applyBorder="1" applyAlignment="1"/>
    <xf numFmtId="164" fontId="8" fillId="0" borderId="0" xfId="99" applyNumberFormat="1" applyFont="1" applyFill="1" applyBorder="1" applyAlignment="1"/>
    <xf numFmtId="10" fontId="8" fillId="0" borderId="0" xfId="99" applyFont="1" applyFill="1" applyBorder="1" applyAlignment="1"/>
    <xf numFmtId="170" fontId="12" fillId="0" borderId="0" xfId="2" applyNumberFormat="1" applyFont="1" applyFill="1" applyBorder="1" applyAlignment="1"/>
    <xf numFmtId="10" fontId="12" fillId="0" borderId="27" xfId="10" applyNumberFormat="1" applyFont="1" applyFill="1" applyBorder="1" applyAlignment="1"/>
    <xf numFmtId="10" fontId="12" fillId="0" borderId="0" xfId="98" applyNumberFormat="1" applyFont="1" applyFill="1" applyBorder="1" applyAlignment="1"/>
    <xf numFmtId="10" fontId="12" fillId="0" borderId="0" xfId="10" applyNumberFormat="1" applyFont="1" applyFill="1" applyBorder="1" applyAlignment="1"/>
    <xf numFmtId="37" fontId="50" fillId="0" borderId="0" xfId="98" applyNumberFormat="1" applyFont="1" applyFill="1" applyBorder="1" applyAlignment="1"/>
    <xf numFmtId="10" fontId="12" fillId="43" borderId="0" xfId="10" applyNumberFormat="1" applyFont="1" applyFill="1" applyBorder="1" applyAlignment="1"/>
    <xf numFmtId="37" fontId="50" fillId="43" borderId="0" xfId="98" applyNumberFormat="1" applyFont="1" applyFill="1" applyBorder="1" applyAlignment="1"/>
    <xf numFmtId="3" fontId="12" fillId="43" borderId="0" xfId="100" applyFont="1" applyFill="1" applyBorder="1" applyAlignment="1">
      <alignment horizontal="left"/>
    </xf>
    <xf numFmtId="37" fontId="50" fillId="42" borderId="0" xfId="98" applyNumberFormat="1" applyFont="1" applyFill="1" applyBorder="1" applyAlignment="1"/>
    <xf numFmtId="37" fontId="50" fillId="40" borderId="0" xfId="98" applyNumberFormat="1" applyFont="1" applyFill="1" applyBorder="1" applyAlignment="1"/>
    <xf numFmtId="10" fontId="12" fillId="43" borderId="0" xfId="99" applyNumberFormat="1" applyFont="1" applyFill="1" applyBorder="1" applyAlignment="1"/>
    <xf numFmtId="0" fontId="12" fillId="0" borderId="0" xfId="98" applyFont="1" applyFill="1" applyBorder="1" applyAlignment="1">
      <alignment horizontal="center" wrapText="1"/>
    </xf>
    <xf numFmtId="0" fontId="8" fillId="0" borderId="2" xfId="98" applyFont="1" applyFill="1" applyBorder="1" applyAlignment="1">
      <alignment horizontal="center" wrapText="1"/>
    </xf>
    <xf numFmtId="0" fontId="8" fillId="0" borderId="0" xfId="98" applyFont="1" applyFill="1" applyBorder="1" applyAlignment="1">
      <alignment horizontal="center" wrapText="1"/>
    </xf>
    <xf numFmtId="0" fontId="8" fillId="40" borderId="0" xfId="98" applyFont="1" applyFill="1" applyBorder="1" applyAlignment="1">
      <alignment horizontal="center" wrapText="1"/>
    </xf>
    <xf numFmtId="0" fontId="8" fillId="42" borderId="0" xfId="98" applyFont="1" applyFill="1" applyBorder="1" applyAlignment="1">
      <alignment horizontal="center" wrapText="1"/>
    </xf>
    <xf numFmtId="0" fontId="8" fillId="0" borderId="28" xfId="98" applyFont="1" applyFill="1" applyBorder="1" applyAlignment="1">
      <alignment horizontal="center" wrapText="1"/>
    </xf>
    <xf numFmtId="0" fontId="8" fillId="41" borderId="2" xfId="98" applyFont="1" applyFill="1" applyBorder="1" applyAlignment="1">
      <alignment horizontal="center" wrapText="1"/>
    </xf>
    <xf numFmtId="0" fontId="18" fillId="0" borderId="0" xfId="98" applyFont="1" applyFill="1" applyBorder="1" applyAlignment="1"/>
    <xf numFmtId="0" fontId="18" fillId="0" borderId="28" xfId="98" applyFont="1" applyFill="1" applyBorder="1" applyAlignment="1">
      <alignment horizontal="center" wrapText="1"/>
    </xf>
    <xf numFmtId="0" fontId="18" fillId="41" borderId="2" xfId="98" applyFont="1" applyFill="1" applyBorder="1" applyAlignment="1">
      <alignment horizontal="center" wrapText="1"/>
    </xf>
    <xf numFmtId="0" fontId="52" fillId="0" borderId="0" xfId="98" applyFont="1" applyFill="1" applyBorder="1" applyAlignment="1"/>
    <xf numFmtId="0" fontId="52" fillId="40" borderId="0" xfId="98" applyFont="1" applyFill="1" applyBorder="1" applyAlignment="1"/>
    <xf numFmtId="0" fontId="51" fillId="0" borderId="0" xfId="98" applyFont="1" applyFill="1" applyBorder="1" applyAlignment="1">
      <alignment horizontal="center"/>
    </xf>
    <xf numFmtId="0" fontId="52" fillId="42" borderId="0" xfId="98" applyFont="1" applyFill="1" applyBorder="1" applyAlignment="1"/>
    <xf numFmtId="0" fontId="24" fillId="0" borderId="28" xfId="98" quotePrefix="1" applyFont="1" applyFill="1" applyBorder="1" applyAlignment="1">
      <alignment horizontal="center"/>
    </xf>
    <xf numFmtId="0" fontId="24" fillId="41" borderId="2" xfId="98" quotePrefix="1" applyFont="1" applyFill="1" applyBorder="1" applyAlignment="1">
      <alignment horizontal="center"/>
    </xf>
    <xf numFmtId="0" fontId="24" fillId="41" borderId="2" xfId="98" applyFont="1" applyFill="1" applyBorder="1" applyAlignment="1">
      <alignment horizontal="center"/>
    </xf>
    <xf numFmtId="0" fontId="53" fillId="0" borderId="14" xfId="98" applyFont="1" applyFill="1" applyBorder="1" applyAlignment="1"/>
    <xf numFmtId="0" fontId="54" fillId="0" borderId="14" xfId="98" applyFont="1" applyFill="1" applyBorder="1" applyAlignment="1"/>
    <xf numFmtId="166" fontId="14" fillId="0" borderId="0" xfId="0" applyNumberFormat="1" applyFont="1" applyBorder="1" applyAlignment="1"/>
    <xf numFmtId="3" fontId="20" fillId="0" borderId="0" xfId="100" applyFont="1" applyFill="1" applyBorder="1" applyAlignment="1">
      <alignment horizontal="left"/>
    </xf>
    <xf numFmtId="3" fontId="27" fillId="0" borderId="1" xfId="100" applyFont="1" applyFill="1" applyBorder="1" applyAlignment="1">
      <alignment horizontal="left"/>
    </xf>
    <xf numFmtId="0" fontId="8" fillId="0" borderId="1" xfId="98" applyFont="1" applyFill="1" applyBorder="1" applyAlignment="1"/>
    <xf numFmtId="0" fontId="8" fillId="41" borderId="1" xfId="98" applyFont="1" applyFill="1" applyBorder="1" applyAlignment="1"/>
    <xf numFmtId="3" fontId="55" fillId="0" borderId="1" xfId="100" quotePrefix="1" applyFont="1" applyFill="1" applyBorder="1" applyAlignment="1">
      <alignment horizontal="right"/>
    </xf>
    <xf numFmtId="169" fontId="18" fillId="0" borderId="0" xfId="10" applyNumberFormat="1" applyFont="1" applyBorder="1"/>
    <xf numFmtId="166" fontId="14" fillId="0" borderId="1" xfId="0" applyNumberFormat="1" applyFont="1" applyBorder="1" applyAlignment="1">
      <alignment horizontal="right"/>
    </xf>
    <xf numFmtId="0" fontId="20" fillId="0" borderId="0" xfId="1" applyFont="1" applyBorder="1" applyAlignment="1">
      <alignment horizontal="center" wrapText="1"/>
    </xf>
    <xf numFmtId="165" fontId="12" fillId="0" borderId="0" xfId="1" applyNumberFormat="1" applyFont="1" applyFill="1"/>
    <xf numFmtId="0" fontId="30" fillId="0" borderId="0" xfId="1" applyFont="1" applyFill="1" applyBorder="1"/>
    <xf numFmtId="171" fontId="2" fillId="0" borderId="0" xfId="0" applyNumberFormat="1" applyFont="1"/>
    <xf numFmtId="164" fontId="18" fillId="4" borderId="9" xfId="50" applyNumberFormat="1" applyFont="1" applyFill="1" applyBorder="1"/>
    <xf numFmtId="166" fontId="14" fillId="0" borderId="1" xfId="0" applyNumberFormat="1" applyFont="1" applyBorder="1" applyAlignment="1">
      <alignment horizontal="right"/>
    </xf>
    <xf numFmtId="0" fontId="20" fillId="0" borderId="2" xfId="1" applyNumberFormat="1" applyFont="1" applyFill="1" applyBorder="1" applyAlignment="1">
      <alignment horizontal="center" wrapText="1"/>
    </xf>
    <xf numFmtId="165" fontId="18" fillId="4" borderId="0" xfId="0" applyNumberFormat="1" applyFont="1" applyFill="1"/>
    <xf numFmtId="164" fontId="20" fillId="4" borderId="12" xfId="0" applyNumberFormat="1" applyFont="1" applyFill="1" applyBorder="1"/>
    <xf numFmtId="0" fontId="18" fillId="20" borderId="0" xfId="0" applyFont="1" applyFill="1"/>
    <xf numFmtId="165" fontId="18" fillId="20" borderId="0" xfId="0" applyNumberFormat="1" applyFont="1" applyFill="1"/>
    <xf numFmtId="164" fontId="20" fillId="20" borderId="12" xfId="0" applyNumberFormat="1" applyFont="1" applyFill="1" applyBorder="1"/>
    <xf numFmtId="164" fontId="20" fillId="4" borderId="0" xfId="0" applyNumberFormat="1" applyFont="1" applyFill="1"/>
    <xf numFmtId="164" fontId="18" fillId="4" borderId="0" xfId="0" applyNumberFormat="1" applyFont="1" applyFill="1" applyBorder="1"/>
    <xf numFmtId="165" fontId="18" fillId="0" borderId="0" xfId="0" applyNumberFormat="1" applyFont="1" applyAlignment="1">
      <alignment horizontal="right"/>
    </xf>
    <xf numFmtId="164" fontId="14" fillId="0" borderId="1" xfId="0" applyNumberFormat="1" applyFont="1" applyBorder="1" applyAlignment="1">
      <alignment horizontal="right"/>
    </xf>
    <xf numFmtId="166" fontId="14" fillId="0" borderId="1" xfId="0" applyNumberFormat="1" applyFont="1" applyBorder="1" applyAlignment="1">
      <alignment horizontal="right"/>
    </xf>
    <xf numFmtId="0" fontId="30" fillId="0" borderId="0" xfId="98" applyFont="1" applyFill="1" applyBorder="1" applyAlignment="1">
      <alignment horizontal="center" wrapText="1"/>
    </xf>
    <xf numFmtId="7" fontId="18" fillId="0" borderId="0" xfId="15" applyNumberFormat="1" applyFont="1" applyAlignment="1">
      <alignment horizontal="right"/>
    </xf>
    <xf numFmtId="39" fontId="18" fillId="0" borderId="0" xfId="15" applyNumberFormat="1" applyFont="1" applyAlignment="1">
      <alignment horizontal="right"/>
    </xf>
    <xf numFmtId="39" fontId="18" fillId="4" borderId="0" xfId="15" applyNumberFormat="1" applyFont="1" applyFill="1" applyAlignment="1">
      <alignment horizontal="right"/>
    </xf>
    <xf numFmtId="39" fontId="18" fillId="0" borderId="0" xfId="15" applyNumberFormat="1" applyFont="1" applyFill="1" applyAlignment="1">
      <alignment horizontal="right"/>
    </xf>
    <xf numFmtId="4" fontId="18" fillId="0" borderId="0" xfId="15" applyNumberFormat="1" applyFont="1" applyAlignment="1">
      <alignment horizontal="right"/>
    </xf>
    <xf numFmtId="4" fontId="18" fillId="4" borderId="0" xfId="15" applyNumberFormat="1" applyFont="1" applyFill="1" applyAlignment="1">
      <alignment horizontal="right"/>
    </xf>
    <xf numFmtId="166" fontId="14" fillId="0" borderId="1" xfId="0" applyNumberFormat="1" applyFont="1" applyBorder="1" applyAlignment="1">
      <alignment horizontal="right"/>
    </xf>
    <xf numFmtId="0" fontId="51" fillId="0" borderId="2" xfId="98" applyFont="1" applyFill="1" applyBorder="1" applyAlignment="1">
      <alignment horizontal="center"/>
    </xf>
    <xf numFmtId="0" fontId="18" fillId="0" borderId="0" xfId="98" applyFont="1" applyFill="1" applyBorder="1" applyAlignment="1">
      <alignment horizontal="center" wrapText="1"/>
    </xf>
    <xf numFmtId="0" fontId="18" fillId="0" borderId="2" xfId="98" applyFont="1" applyFill="1" applyBorder="1" applyAlignment="1">
      <alignment horizontal="center" wrapText="1"/>
    </xf>
    <xf numFmtId="0" fontId="24" fillId="0" borderId="0" xfId="98" quotePrefix="1" applyFont="1" applyFill="1" applyBorder="1" applyAlignment="1">
      <alignment horizontal="center"/>
    </xf>
    <xf numFmtId="0" fontId="8" fillId="0" borderId="0" xfId="9" applyFont="1"/>
    <xf numFmtId="3" fontId="8" fillId="0" borderId="0" xfId="9" applyNumberFormat="1" applyFont="1"/>
    <xf numFmtId="3" fontId="8" fillId="45" borderId="0" xfId="9" applyNumberFormat="1" applyFont="1" applyFill="1"/>
    <xf numFmtId="3" fontId="8" fillId="46" borderId="0" xfId="9" applyNumberFormat="1" applyFont="1" applyFill="1"/>
    <xf numFmtId="3" fontId="8" fillId="47" borderId="0" xfId="9" applyNumberFormat="1" applyFont="1" applyFill="1"/>
    <xf numFmtId="0" fontId="58" fillId="0" borderId="0" xfId="9" applyNumberFormat="1" applyFont="1" applyFill="1" applyBorder="1" applyAlignment="1" applyProtection="1">
      <alignment horizontal="right"/>
    </xf>
    <xf numFmtId="1" fontId="58" fillId="0" borderId="0" xfId="140" quotePrefix="1" applyNumberFormat="1" applyFont="1" applyFill="1" applyBorder="1" applyAlignment="1" applyProtection="1">
      <alignment horizontal="right"/>
    </xf>
    <xf numFmtId="3" fontId="58" fillId="0" borderId="0" xfId="9" applyNumberFormat="1" applyFont="1" applyFill="1" applyBorder="1" applyAlignment="1">
      <alignment horizontal="right"/>
    </xf>
    <xf numFmtId="1" fontId="8" fillId="0" borderId="0" xfId="9" applyNumberFormat="1" applyFont="1" applyBorder="1"/>
    <xf numFmtId="1" fontId="58" fillId="0" borderId="0" xfId="9" applyNumberFormat="1" applyFont="1" applyFill="1" applyBorder="1" applyProtection="1"/>
    <xf numFmtId="3" fontId="58" fillId="0" borderId="0" xfId="9" applyNumberFormat="1" applyFont="1" applyBorder="1" applyAlignment="1">
      <alignment horizontal="right"/>
    </xf>
    <xf numFmtId="0" fontId="58" fillId="0" borderId="0" xfId="9" applyNumberFormat="1" applyFont="1" applyFill="1" applyProtection="1"/>
    <xf numFmtId="1" fontId="58" fillId="0" borderId="0" xfId="140" applyNumberFormat="1" applyFont="1" applyFill="1" applyBorder="1" applyAlignment="1" applyProtection="1">
      <alignment horizontal="right"/>
    </xf>
    <xf numFmtId="0" fontId="60" fillId="0" borderId="0" xfId="9" applyFont="1"/>
    <xf numFmtId="0" fontId="29" fillId="0" borderId="0" xfId="9" applyFont="1" applyBorder="1"/>
    <xf numFmtId="1" fontId="29" fillId="0" borderId="0" xfId="9" applyNumberFormat="1" applyFont="1" applyBorder="1"/>
    <xf numFmtId="3" fontId="61" fillId="0" borderId="0" xfId="9" applyNumberFormat="1" applyFont="1" applyBorder="1" applyAlignment="1">
      <alignment horizontal="right"/>
    </xf>
    <xf numFmtId="0" fontId="29" fillId="0" borderId="0" xfId="9" applyFont="1"/>
    <xf numFmtId="37" fontId="62" fillId="0" borderId="0" xfId="141" applyNumberFormat="1" applyFont="1" applyFill="1" applyProtection="1"/>
    <xf numFmtId="0" fontId="8" fillId="0" borderId="0" xfId="9" applyFont="1" applyFill="1"/>
    <xf numFmtId="1" fontId="8" fillId="0" borderId="0" xfId="9" applyNumberFormat="1" applyFont="1" applyFill="1" applyBorder="1"/>
    <xf numFmtId="0" fontId="29" fillId="43" borderId="0" xfId="9" applyFont="1" applyFill="1" applyAlignment="1">
      <alignment horizontal="right"/>
    </xf>
    <xf numFmtId="0" fontId="29" fillId="0" borderId="0" xfId="9" applyFont="1" applyFill="1" applyAlignment="1">
      <alignment horizontal="center"/>
    </xf>
    <xf numFmtId="0" fontId="29" fillId="0" borderId="0" xfId="9" applyFont="1" applyFill="1" applyAlignment="1">
      <alignment horizontal="right"/>
    </xf>
    <xf numFmtId="0" fontId="29" fillId="43" borderId="0" xfId="9" applyFont="1" applyFill="1"/>
    <xf numFmtId="0" fontId="63" fillId="43" borderId="0" xfId="9" applyFont="1" applyFill="1" applyAlignment="1"/>
    <xf numFmtId="0" fontId="60" fillId="0" borderId="0" xfId="9" applyFont="1" applyFill="1"/>
    <xf numFmtId="0" fontId="29" fillId="0" borderId="0" xfId="9" applyFont="1" applyFill="1"/>
    <xf numFmtId="0" fontId="58" fillId="0" borderId="0" xfId="9" applyNumberFormat="1" applyFont="1" applyFill="1" applyAlignment="1" applyProtection="1">
      <alignment horizontal="right"/>
    </xf>
    <xf numFmtId="1" fontId="29" fillId="0" borderId="0" xfId="9" applyNumberFormat="1" applyFont="1"/>
    <xf numFmtId="0" fontId="8" fillId="0" borderId="0" xfId="9" applyNumberFormat="1" applyFont="1"/>
    <xf numFmtId="1" fontId="58" fillId="0" borderId="0" xfId="9" applyNumberFormat="1" applyFont="1" applyFill="1" applyBorder="1" applyAlignment="1" applyProtection="1">
      <alignment horizontal="right"/>
    </xf>
    <xf numFmtId="0" fontId="64" fillId="0" borderId="0" xfId="9" applyFont="1"/>
    <xf numFmtId="1" fontId="58" fillId="0" borderId="0" xfId="9" applyNumberFormat="1" applyFont="1" applyFill="1" applyAlignment="1" applyProtection="1">
      <alignment horizontal="right"/>
    </xf>
    <xf numFmtId="0" fontId="8" fillId="0" borderId="0" xfId="9" applyNumberFormat="1" applyFont="1" applyFill="1"/>
    <xf numFmtId="0" fontId="29" fillId="0" borderId="0" xfId="9" applyNumberFormat="1" applyFont="1"/>
    <xf numFmtId="0" fontId="29" fillId="0" borderId="0" xfId="9" applyNumberFormat="1" applyFont="1" applyFill="1"/>
    <xf numFmtId="0" fontId="29" fillId="0" borderId="0" xfId="9" applyNumberFormat="1" applyFont="1" applyBorder="1"/>
    <xf numFmtId="1" fontId="8" fillId="0" borderId="0" xfId="9" applyNumberFormat="1" applyFont="1"/>
    <xf numFmtId="165" fontId="58" fillId="0" borderId="0" xfId="9" applyNumberFormat="1" applyFont="1" applyFill="1" applyAlignment="1" applyProtection="1">
      <alignment horizontal="right"/>
    </xf>
    <xf numFmtId="170" fontId="58" fillId="0" borderId="0" xfId="142" applyNumberFormat="1" applyFont="1" applyAlignment="1" applyProtection="1"/>
    <xf numFmtId="0" fontId="8" fillId="0" borderId="0" xfId="9" applyFont="1" applyFill="1" applyAlignment="1"/>
    <xf numFmtId="0" fontId="19" fillId="0" borderId="0" xfId="9" applyFont="1"/>
    <xf numFmtId="0" fontId="19" fillId="0" borderId="0" xfId="143" applyFont="1">
      <alignment vertical="top"/>
    </xf>
    <xf numFmtId="0" fontId="65" fillId="0" borderId="0" xfId="9" applyFont="1"/>
    <xf numFmtId="0" fontId="15" fillId="0" borderId="0" xfId="9" applyFont="1"/>
    <xf numFmtId="0" fontId="13" fillId="0" borderId="1" xfId="0" applyFont="1" applyBorder="1" applyAlignment="1" applyProtection="1"/>
    <xf numFmtId="165" fontId="2" fillId="0" borderId="1" xfId="0" applyNumberFormat="1" applyFont="1" applyBorder="1" applyProtection="1"/>
    <xf numFmtId="166" fontId="14" fillId="0" borderId="1" xfId="0" applyNumberFormat="1" applyFont="1" applyBorder="1" applyAlignment="1" applyProtection="1">
      <alignment horizontal="right"/>
    </xf>
    <xf numFmtId="0" fontId="2" fillId="0" borderId="0" xfId="0" applyFont="1" applyProtection="1"/>
    <xf numFmtId="0" fontId="14" fillId="0" borderId="14" xfId="0" applyFont="1" applyBorder="1" applyAlignment="1" applyProtection="1"/>
    <xf numFmtId="0" fontId="14" fillId="0" borderId="0" xfId="0" applyFont="1" applyProtection="1"/>
    <xf numFmtId="165" fontId="2" fillId="0" borderId="0" xfId="0" applyNumberFormat="1" applyFont="1" applyProtection="1"/>
    <xf numFmtId="0" fontId="68" fillId="0" borderId="0" xfId="0" applyFont="1" applyFill="1" applyBorder="1" applyAlignment="1" applyProtection="1">
      <alignment horizontal="right"/>
    </xf>
    <xf numFmtId="172" fontId="8" fillId="48" borderId="0" xfId="144" applyNumberFormat="1" applyFont="1" applyFill="1" applyAlignment="1" applyProtection="1">
      <alignment horizontal="center"/>
      <protection locked="0"/>
    </xf>
    <xf numFmtId="165" fontId="68" fillId="0" borderId="0" xfId="0" applyNumberFormat="1" applyFont="1" applyProtection="1"/>
    <xf numFmtId="164" fontId="2" fillId="0" borderId="0" xfId="0" applyNumberFormat="1" applyFont="1" applyProtection="1"/>
    <xf numFmtId="165" fontId="68" fillId="0" borderId="0" xfId="0" applyNumberFormat="1" applyFont="1" applyAlignment="1" applyProtection="1">
      <alignment horizontal="right"/>
    </xf>
    <xf numFmtId="0" fontId="1" fillId="0" borderId="0" xfId="0" applyFont="1" applyFill="1" applyBorder="1" applyAlignment="1" applyProtection="1">
      <alignment horizontal="right"/>
    </xf>
    <xf numFmtId="172" fontId="12" fillId="0" borderId="0" xfId="144" applyNumberFormat="1" applyFont="1" applyFill="1" applyAlignment="1" applyProtection="1"/>
    <xf numFmtId="0" fontId="68" fillId="0" borderId="0" xfId="0" applyFont="1" applyProtection="1"/>
    <xf numFmtId="166" fontId="8" fillId="0" borderId="0" xfId="144" applyNumberFormat="1" applyFont="1" applyFill="1" applyAlignment="1" applyProtection="1">
      <alignment horizontal="center"/>
    </xf>
    <xf numFmtId="166" fontId="8" fillId="0" borderId="0" xfId="144" applyNumberFormat="1" applyFont="1" applyFill="1" applyAlignment="1" applyProtection="1">
      <alignment horizontal="center"/>
      <protection locked="0"/>
    </xf>
    <xf numFmtId="165" fontId="69" fillId="21" borderId="3" xfId="0" applyNumberFormat="1" applyFont="1" applyFill="1" applyBorder="1" applyAlignment="1" applyProtection="1">
      <alignment horizontal="center" wrapText="1"/>
    </xf>
    <xf numFmtId="164" fontId="69" fillId="21" borderId="3" xfId="0" applyNumberFormat="1" applyFont="1" applyFill="1" applyBorder="1" applyAlignment="1" applyProtection="1">
      <alignment horizontal="center" wrapText="1"/>
    </xf>
    <xf numFmtId="0" fontId="68" fillId="0" borderId="29" xfId="0" applyFont="1" applyBorder="1" applyAlignment="1" applyProtection="1"/>
    <xf numFmtId="0" fontId="68" fillId="0" borderId="0" xfId="0" applyFont="1" applyBorder="1" applyAlignment="1" applyProtection="1"/>
    <xf numFmtId="0" fontId="68" fillId="0" borderId="7" xfId="0" applyFont="1" applyBorder="1" applyProtection="1"/>
    <xf numFmtId="0" fontId="68" fillId="0" borderId="13" xfId="0" applyFont="1" applyBorder="1" applyAlignment="1" applyProtection="1"/>
    <xf numFmtId="0" fontId="68" fillId="0" borderId="9" xfId="0" applyFont="1" applyBorder="1" applyAlignment="1" applyProtection="1"/>
    <xf numFmtId="0" fontId="68" fillId="0" borderId="8" xfId="0" applyFont="1" applyBorder="1" applyProtection="1"/>
    <xf numFmtId="0" fontId="70" fillId="0" borderId="0" xfId="0" applyFont="1" applyProtection="1"/>
    <xf numFmtId="9" fontId="68" fillId="0" borderId="0" xfId="50" applyFont="1" applyProtection="1"/>
    <xf numFmtId="164" fontId="68" fillId="0" borderId="0" xfId="0" applyNumberFormat="1" applyFont="1" applyProtection="1"/>
    <xf numFmtId="0" fontId="68" fillId="0" borderId="11" xfId="0" applyFont="1" applyBorder="1" applyProtection="1"/>
    <xf numFmtId="0" fontId="68" fillId="0" borderId="6" xfId="0" applyFont="1" applyBorder="1" applyProtection="1"/>
    <xf numFmtId="0" fontId="68" fillId="0" borderId="29" xfId="0" applyFont="1" applyBorder="1" applyProtection="1"/>
    <xf numFmtId="0" fontId="68" fillId="0" borderId="0" xfId="0" applyFont="1" applyBorder="1" applyProtection="1"/>
    <xf numFmtId="0" fontId="68" fillId="0" borderId="13" xfId="0" applyFont="1" applyBorder="1" applyProtection="1"/>
    <xf numFmtId="164" fontId="2" fillId="0" borderId="0" xfId="0" applyNumberFormat="1" applyFont="1" applyBorder="1" applyProtection="1"/>
    <xf numFmtId="165" fontId="2" fillId="0" borderId="0" xfId="0" applyNumberFormat="1" applyFont="1" applyBorder="1" applyProtection="1"/>
    <xf numFmtId="0" fontId="72" fillId="49" borderId="1" xfId="43" applyFont="1" applyFill="1" applyBorder="1"/>
    <xf numFmtId="0" fontId="9" fillId="0" borderId="0" xfId="43"/>
    <xf numFmtId="0" fontId="8" fillId="49" borderId="0" xfId="43" applyFont="1" applyFill="1"/>
    <xf numFmtId="0" fontId="8" fillId="3" borderId="0" xfId="43" applyFont="1" applyFill="1" applyBorder="1"/>
    <xf numFmtId="0" fontId="29" fillId="3" borderId="0" xfId="145" applyNumberFormat="1" applyFont="1" applyFill="1"/>
    <xf numFmtId="0" fontId="8" fillId="3" borderId="0" xfId="145" applyNumberFormat="1" applyFont="1" applyFill="1"/>
    <xf numFmtId="0" fontId="8" fillId="3" borderId="0" xfId="43" applyFont="1" applyFill="1"/>
    <xf numFmtId="0" fontId="9" fillId="0" borderId="0" xfId="43" applyAlignment="1">
      <alignment vertical="top" wrapText="1"/>
    </xf>
    <xf numFmtId="0" fontId="73" fillId="3" borderId="0" xfId="145" applyNumberFormat="1" applyFont="1" applyFill="1"/>
    <xf numFmtId="0" fontId="8" fillId="3" borderId="0" xfId="146" applyFont="1" applyFill="1" applyAlignment="1">
      <alignment wrapText="1"/>
    </xf>
    <xf numFmtId="0" fontId="8" fillId="3" borderId="0" xfId="146" applyFont="1" applyFill="1" applyAlignment="1">
      <alignment horizontal="left" wrapText="1"/>
    </xf>
    <xf numFmtId="0" fontId="8" fillId="3" borderId="0" xfId="145" quotePrefix="1" applyNumberFormat="1" applyFont="1" applyFill="1" applyAlignment="1">
      <alignment vertical="top"/>
    </xf>
    <xf numFmtId="0" fontId="8" fillId="0" borderId="0" xfId="43" applyFont="1" applyAlignment="1">
      <alignment vertical="top"/>
    </xf>
    <xf numFmtId="0" fontId="8" fillId="0" borderId="0" xfId="43" applyFont="1" applyAlignment="1">
      <alignment vertical="top" wrapText="1"/>
    </xf>
    <xf numFmtId="0" fontId="8" fillId="0" borderId="0" xfId="43" applyFont="1" applyAlignment="1"/>
    <xf numFmtId="49" fontId="8" fillId="0" borderId="0" xfId="43" applyNumberFormat="1" applyFont="1"/>
    <xf numFmtId="0" fontId="12" fillId="0" borderId="0" xfId="98" applyFont="1" applyFill="1" applyBorder="1" applyAlignment="1">
      <alignment horizontal="center"/>
    </xf>
    <xf numFmtId="170" fontId="12" fillId="43" borderId="0" xfId="98" applyNumberFormat="1" applyFont="1" applyFill="1" applyBorder="1" applyAlignment="1"/>
    <xf numFmtId="170" fontId="12" fillId="0" borderId="0" xfId="138" applyNumberFormat="1" applyFont="1" applyFill="1" applyBorder="1" applyAlignment="1"/>
    <xf numFmtId="9" fontId="12" fillId="0" borderId="0" xfId="50" applyFont="1" applyFill="1" applyBorder="1" applyAlignment="1"/>
    <xf numFmtId="170" fontId="12" fillId="0" borderId="0" xfId="98" applyNumberFormat="1" applyFont="1" applyFill="1" applyBorder="1" applyAlignment="1"/>
    <xf numFmtId="0" fontId="71" fillId="0" borderId="0" xfId="98" applyFont="1" applyFill="1" applyBorder="1" applyAlignment="1">
      <alignment horizontal="right"/>
    </xf>
    <xf numFmtId="165" fontId="18" fillId="48" borderId="4" xfId="0" applyNumberFormat="1" applyFont="1" applyFill="1" applyBorder="1"/>
    <xf numFmtId="165" fontId="30" fillId="0" borderId="4" xfId="0" applyNumberFormat="1" applyFont="1" applyFill="1" applyBorder="1"/>
    <xf numFmtId="0" fontId="11" fillId="0" borderId="17" xfId="51" applyFont="1" applyBorder="1"/>
    <xf numFmtId="0" fontId="64" fillId="0" borderId="17" xfId="51" applyFont="1" applyBorder="1"/>
    <xf numFmtId="0" fontId="8" fillId="0" borderId="0" xfId="141" applyFont="1"/>
    <xf numFmtId="0" fontId="11" fillId="0" borderId="0" xfId="141" applyFont="1"/>
    <xf numFmtId="0" fontId="27" fillId="0" borderId="12" xfId="141" applyFont="1" applyBorder="1" applyAlignment="1"/>
    <xf numFmtId="0" fontId="29" fillId="0" borderId="0" xfId="141" applyFont="1"/>
    <xf numFmtId="0" fontId="8" fillId="0" borderId="0" xfId="141" applyFont="1" applyAlignment="1"/>
    <xf numFmtId="0" fontId="29" fillId="0" borderId="0" xfId="141" applyFont="1" applyAlignment="1"/>
    <xf numFmtId="0" fontId="18" fillId="0" borderId="18" xfId="141" applyFont="1" applyBorder="1"/>
    <xf numFmtId="0" fontId="8" fillId="0" borderId="0" xfId="141" applyFont="1" applyAlignment="1">
      <alignment horizontal="right"/>
    </xf>
    <xf numFmtId="44" fontId="8" fillId="0" borderId="0" xfId="141" applyNumberFormat="1" applyFont="1" applyAlignment="1">
      <alignment horizontal="right"/>
    </xf>
    <xf numFmtId="0" fontId="18" fillId="0" borderId="0" xfId="141" applyFont="1"/>
    <xf numFmtId="7" fontId="71" fillId="0" borderId="0" xfId="15" applyNumberFormat="1" applyFont="1" applyAlignment="1">
      <alignment horizontal="right"/>
    </xf>
    <xf numFmtId="7" fontId="8" fillId="0" borderId="0" xfId="141" applyNumberFormat="1" applyFont="1"/>
    <xf numFmtId="0" fontId="29" fillId="6" borderId="0" xfId="141" applyFont="1" applyFill="1"/>
    <xf numFmtId="7" fontId="29" fillId="6" borderId="0" xfId="15" applyNumberFormat="1" applyFont="1" applyFill="1" applyAlignment="1">
      <alignment horizontal="right"/>
    </xf>
    <xf numFmtId="7" fontId="64" fillId="6" borderId="0" xfId="15" applyNumberFormat="1" applyFont="1" applyFill="1" applyAlignment="1">
      <alignment horizontal="right"/>
    </xf>
    <xf numFmtId="0" fontId="15" fillId="0" borderId="0" xfId="141" applyFont="1"/>
    <xf numFmtId="0" fontId="9" fillId="0" borderId="0" xfId="141"/>
    <xf numFmtId="0" fontId="8" fillId="0" borderId="0" xfId="141" applyFont="1" applyBorder="1"/>
    <xf numFmtId="44" fontId="8" fillId="0" borderId="0" xfId="15" applyNumberFormat="1" applyFont="1" applyBorder="1" applyAlignment="1">
      <alignment horizontal="center"/>
    </xf>
    <xf numFmtId="0" fontId="8" fillId="0" borderId="17" xfId="141" applyFont="1" applyFill="1" applyBorder="1"/>
    <xf numFmtId="3" fontId="8" fillId="0" borderId="17" xfId="5" applyFont="1" applyFill="1" applyBorder="1"/>
    <xf numFmtId="3" fontId="8" fillId="0" borderId="17" xfId="5" applyFont="1" applyFill="1" applyBorder="1" applyAlignment="1">
      <alignment horizontal="center"/>
    </xf>
    <xf numFmtId="0" fontId="8" fillId="0" borderId="17" xfId="141" applyFont="1" applyFill="1" applyBorder="1" applyAlignment="1">
      <alignment horizontal="center"/>
    </xf>
    <xf numFmtId="0" fontId="8" fillId="0" borderId="0" xfId="141" applyFont="1" applyFill="1"/>
    <xf numFmtId="0" fontId="8" fillId="0" borderId="0" xfId="141" applyFont="1" applyFill="1" applyBorder="1"/>
    <xf numFmtId="3" fontId="8" fillId="0" borderId="0" xfId="5" applyFont="1" applyFill="1" applyBorder="1"/>
    <xf numFmtId="3" fontId="8" fillId="0" borderId="0" xfId="5" applyFont="1" applyFill="1" applyBorder="1" applyAlignment="1">
      <alignment horizontal="center"/>
    </xf>
    <xf numFmtId="0" fontId="8" fillId="0" borderId="0" xfId="141" applyFont="1" applyFill="1" applyBorder="1" applyAlignment="1">
      <alignment horizontal="center"/>
    </xf>
    <xf numFmtId="3" fontId="8" fillId="0" borderId="0" xfId="5" applyFont="1" applyFill="1"/>
    <xf numFmtId="3" fontId="8" fillId="0" borderId="0" xfId="5" applyFont="1" applyFill="1" applyAlignment="1">
      <alignment horizontal="center"/>
    </xf>
    <xf numFmtId="0" fontId="8" fillId="0" borderId="0" xfId="141" applyFont="1" applyFill="1" applyAlignment="1">
      <alignment horizontal="center"/>
    </xf>
    <xf numFmtId="0" fontId="8" fillId="0" borderId="3" xfId="141" applyFont="1" applyFill="1" applyBorder="1"/>
    <xf numFmtId="0" fontId="8" fillId="0" borderId="28" xfId="141" applyFont="1" applyFill="1" applyBorder="1" applyAlignment="1">
      <alignment horizontal="centerContinuous"/>
    </xf>
    <xf numFmtId="0" fontId="8" fillId="0" borderId="2" xfId="141" applyFont="1" applyFill="1" applyBorder="1" applyAlignment="1">
      <alignment horizontal="centerContinuous"/>
    </xf>
    <xf numFmtId="3" fontId="8" fillId="0" borderId="2" xfId="5" applyFont="1" applyFill="1" applyBorder="1" applyAlignment="1">
      <alignment horizontal="centerContinuous"/>
    </xf>
    <xf numFmtId="0" fontId="8" fillId="0" borderId="5" xfId="141" applyFont="1" applyFill="1" applyBorder="1"/>
    <xf numFmtId="0" fontId="8" fillId="0" borderId="28" xfId="141" applyFont="1" applyFill="1" applyBorder="1"/>
    <xf numFmtId="3" fontId="8" fillId="0" borderId="2" xfId="5" applyFont="1" applyFill="1" applyBorder="1" applyAlignment="1">
      <alignment horizontal="center" wrapText="1"/>
    </xf>
    <xf numFmtId="0" fontId="8" fillId="0" borderId="2" xfId="141" applyFont="1" applyFill="1" applyBorder="1"/>
    <xf numFmtId="3" fontId="8" fillId="0" borderId="2" xfId="5" applyFont="1" applyFill="1" applyBorder="1"/>
    <xf numFmtId="3" fontId="8" fillId="0" borderId="2" xfId="5" applyFont="1" applyFill="1" applyBorder="1" applyAlignment="1">
      <alignment horizontal="center"/>
    </xf>
    <xf numFmtId="3" fontId="8" fillId="0" borderId="10" xfId="5" applyFont="1" applyFill="1" applyBorder="1" applyAlignment="1">
      <alignment horizontal="center" wrapText="1"/>
    </xf>
    <xf numFmtId="3" fontId="8" fillId="0" borderId="0" xfId="5" applyFont="1" applyFill="1" applyBorder="1" applyAlignment="1">
      <alignment horizontal="center" wrapText="1"/>
    </xf>
    <xf numFmtId="0" fontId="8" fillId="0" borderId="4" xfId="141" applyFont="1" applyFill="1" applyBorder="1"/>
    <xf numFmtId="165" fontId="8" fillId="0" borderId="0" xfId="141" applyNumberFormat="1" applyFont="1" applyFill="1" applyBorder="1"/>
    <xf numFmtId="165" fontId="8" fillId="0" borderId="0" xfId="5" applyNumberFormat="1" applyFont="1" applyFill="1" applyBorder="1"/>
    <xf numFmtId="3" fontId="8" fillId="0" borderId="0" xfId="5" applyFont="1" applyFill="1" applyBorder="1" applyAlignment="1">
      <alignment horizontal="right"/>
    </xf>
    <xf numFmtId="3" fontId="8" fillId="0" borderId="12" xfId="5" applyFont="1" applyFill="1" applyBorder="1" applyAlignment="1">
      <alignment horizontal="right"/>
    </xf>
    <xf numFmtId="0" fontId="8" fillId="0" borderId="0" xfId="141" applyFont="1" applyFill="1" applyBorder="1" applyAlignment="1">
      <alignment horizontal="right"/>
    </xf>
    <xf numFmtId="171" fontId="8" fillId="0" borderId="0" xfId="141" applyNumberFormat="1" applyFont="1" applyFill="1" applyBorder="1" applyAlignment="1">
      <alignment horizontal="right"/>
    </xf>
    <xf numFmtId="171" fontId="8" fillId="0" borderId="11" xfId="141" applyNumberFormat="1" applyFont="1" applyFill="1" applyBorder="1" applyAlignment="1">
      <alignment horizontal="right"/>
    </xf>
    <xf numFmtId="0" fontId="8" fillId="0" borderId="12" xfId="141" applyFont="1" applyFill="1" applyBorder="1"/>
    <xf numFmtId="0" fontId="8" fillId="0" borderId="6" xfId="141" applyFont="1" applyFill="1" applyBorder="1"/>
    <xf numFmtId="0" fontId="8" fillId="0" borderId="11" xfId="141" applyFont="1" applyFill="1" applyBorder="1"/>
    <xf numFmtId="171" fontId="8" fillId="0" borderId="11" xfId="14" applyNumberFormat="1" applyFont="1" applyFill="1" applyBorder="1" applyAlignment="1">
      <alignment horizontal="right"/>
    </xf>
    <xf numFmtId="0" fontId="8" fillId="0" borderId="6" xfId="14" applyFont="1" applyFill="1" applyBorder="1"/>
    <xf numFmtId="165" fontId="8" fillId="0" borderId="0" xfId="141" applyNumberFormat="1" applyFont="1" applyFill="1"/>
    <xf numFmtId="165" fontId="8" fillId="0" borderId="0" xfId="5" applyNumberFormat="1" applyFont="1" applyFill="1"/>
    <xf numFmtId="3" fontId="8" fillId="0" borderId="0" xfId="5" applyFont="1" applyFill="1" applyAlignment="1">
      <alignment horizontal="right"/>
    </xf>
    <xf numFmtId="0" fontId="8" fillId="0" borderId="0" xfId="141" applyFont="1" applyFill="1" applyAlignment="1">
      <alignment horizontal="right"/>
    </xf>
    <xf numFmtId="171" fontId="8" fillId="0" borderId="0" xfId="141" applyNumberFormat="1" applyFont="1" applyFill="1" applyAlignment="1">
      <alignment horizontal="right"/>
    </xf>
    <xf numFmtId="7" fontId="8" fillId="0" borderId="0" xfId="141" applyNumberFormat="1" applyFont="1" applyFill="1"/>
    <xf numFmtId="171" fontId="8" fillId="0" borderId="29" xfId="141" applyNumberFormat="1" applyFont="1" applyFill="1" applyBorder="1" applyAlignment="1">
      <alignment horizontal="right"/>
    </xf>
    <xf numFmtId="7" fontId="8" fillId="0" borderId="0" xfId="141" applyNumberFormat="1" applyFont="1" applyFill="1" applyBorder="1"/>
    <xf numFmtId="7" fontId="8" fillId="0" borderId="7" xfId="141" applyNumberFormat="1" applyFont="1" applyFill="1" applyBorder="1"/>
    <xf numFmtId="7" fontId="8" fillId="0" borderId="29" xfId="141" applyNumberFormat="1" applyFont="1" applyFill="1" applyBorder="1"/>
    <xf numFmtId="171" fontId="8" fillId="0" borderId="29" xfId="14" applyNumberFormat="1" applyFont="1" applyFill="1" applyBorder="1" applyAlignment="1">
      <alignment horizontal="right"/>
    </xf>
    <xf numFmtId="7" fontId="8" fillId="0" borderId="7" xfId="14" applyNumberFormat="1" applyFont="1" applyFill="1" applyBorder="1"/>
    <xf numFmtId="44" fontId="8" fillId="0" borderId="4" xfId="15" applyFont="1" applyFill="1" applyBorder="1"/>
    <xf numFmtId="165" fontId="8" fillId="0" borderId="0" xfId="15" applyNumberFormat="1" applyFont="1" applyFill="1"/>
    <xf numFmtId="165" fontId="8" fillId="0" borderId="0" xfId="15" applyNumberFormat="1" applyFont="1" applyFill="1" applyAlignment="1">
      <alignment horizontal="right"/>
    </xf>
    <xf numFmtId="165" fontId="8" fillId="0" borderId="0" xfId="15" applyNumberFormat="1" applyFont="1" applyFill="1" applyBorder="1" applyAlignment="1">
      <alignment horizontal="right"/>
    </xf>
    <xf numFmtId="165" fontId="8" fillId="0" borderId="0" xfId="141" applyNumberFormat="1" applyFont="1" applyFill="1" applyAlignment="1">
      <alignment horizontal="right"/>
    </xf>
    <xf numFmtId="165" fontId="8" fillId="0" borderId="0" xfId="141" applyNumberFormat="1" applyFont="1" applyFill="1" applyAlignment="1"/>
    <xf numFmtId="165" fontId="8" fillId="0" borderId="29" xfId="141" applyNumberFormat="1" applyFont="1" applyFill="1" applyBorder="1" applyAlignment="1"/>
    <xf numFmtId="165" fontId="8" fillId="0" borderId="0" xfId="141" applyNumberFormat="1" applyFont="1" applyFill="1" applyBorder="1" applyAlignment="1"/>
    <xf numFmtId="165" fontId="8" fillId="0" borderId="7" xfId="141" applyNumberFormat="1" applyFont="1" applyFill="1" applyBorder="1" applyAlignment="1"/>
    <xf numFmtId="165" fontId="8" fillId="0" borderId="29" xfId="14" applyNumberFormat="1" applyFont="1" applyFill="1" applyBorder="1" applyAlignment="1"/>
    <xf numFmtId="165" fontId="8" fillId="0" borderId="7" xfId="14" applyNumberFormat="1" applyFont="1" applyFill="1" applyBorder="1" applyAlignment="1"/>
    <xf numFmtId="44" fontId="8" fillId="0" borderId="0" xfId="15" applyFont="1" applyFill="1"/>
    <xf numFmtId="165" fontId="8" fillId="0" borderId="0" xfId="16" applyNumberFormat="1" applyFont="1" applyFill="1"/>
    <xf numFmtId="165" fontId="8" fillId="0" borderId="0" xfId="16" applyNumberFormat="1" applyFont="1" applyFill="1" applyAlignment="1">
      <alignment horizontal="right"/>
    </xf>
    <xf numFmtId="165" fontId="8" fillId="0" borderId="0" xfId="16" applyNumberFormat="1" applyFont="1" applyFill="1" applyBorder="1" applyAlignment="1">
      <alignment horizontal="right"/>
    </xf>
    <xf numFmtId="3" fontId="8" fillId="0" borderId="0" xfId="16" applyNumberFormat="1" applyFont="1" applyFill="1" applyBorder="1" applyAlignment="1">
      <alignment horizontal="right"/>
    </xf>
    <xf numFmtId="3" fontId="8" fillId="0" borderId="0" xfId="16" applyNumberFormat="1" applyFont="1" applyFill="1" applyAlignment="1">
      <alignment horizontal="right"/>
    </xf>
    <xf numFmtId="3" fontId="8" fillId="0" borderId="0" xfId="15" applyNumberFormat="1" applyFont="1" applyFill="1" applyAlignment="1">
      <alignment horizontal="right"/>
    </xf>
    <xf numFmtId="3" fontId="8" fillId="0" borderId="0" xfId="141" applyNumberFormat="1" applyFont="1" applyFill="1" applyAlignment="1">
      <alignment horizontal="right"/>
    </xf>
    <xf numFmtId="3" fontId="8" fillId="0" borderId="0" xfId="141" applyNumberFormat="1" applyFont="1" applyFill="1" applyAlignment="1"/>
    <xf numFmtId="3" fontId="8" fillId="0" borderId="29" xfId="141" applyNumberFormat="1" applyFont="1" applyFill="1" applyBorder="1" applyAlignment="1"/>
    <xf numFmtId="3" fontId="8" fillId="0" borderId="0" xfId="141" applyNumberFormat="1" applyFont="1" applyFill="1" applyBorder="1" applyAlignment="1"/>
    <xf numFmtId="3" fontId="8" fillId="0" borderId="7" xfId="141" applyNumberFormat="1" applyFont="1" applyFill="1" applyBorder="1" applyAlignment="1"/>
    <xf numFmtId="3" fontId="8" fillId="0" borderId="29" xfId="14" applyNumberFormat="1" applyFont="1" applyFill="1" applyBorder="1" applyAlignment="1"/>
    <xf numFmtId="3" fontId="8" fillId="0" borderId="7" xfId="14" applyNumberFormat="1" applyFont="1" applyFill="1" applyBorder="1" applyAlignment="1"/>
    <xf numFmtId="164" fontId="8" fillId="0" borderId="0" xfId="93" applyNumberFormat="1" applyFont="1" applyFill="1"/>
    <xf numFmtId="171" fontId="8" fillId="0" borderId="0" xfId="16" applyNumberFormat="1" applyFont="1" applyFill="1" applyAlignment="1">
      <alignment horizontal="right"/>
    </xf>
    <xf numFmtId="171" fontId="8" fillId="0" borderId="0" xfId="16" applyNumberFormat="1" applyFont="1" applyFill="1" applyBorder="1" applyAlignment="1">
      <alignment horizontal="right"/>
    </xf>
    <xf numFmtId="3" fontId="71" fillId="0" borderId="29" xfId="141" applyNumberFormat="1" applyFont="1" applyFill="1" applyBorder="1" applyAlignment="1"/>
    <xf numFmtId="3" fontId="71" fillId="0" borderId="7" xfId="141" applyNumberFormat="1" applyFont="1" applyFill="1" applyBorder="1" applyAlignment="1"/>
    <xf numFmtId="3" fontId="8" fillId="0" borderId="13" xfId="141" applyNumberFormat="1" applyFont="1" applyFill="1" applyBorder="1" applyAlignment="1"/>
    <xf numFmtId="3" fontId="8" fillId="0" borderId="9" xfId="141" applyNumberFormat="1" applyFont="1" applyFill="1" applyBorder="1" applyAlignment="1"/>
    <xf numFmtId="3" fontId="8" fillId="0" borderId="8" xfId="141" applyNumberFormat="1" applyFont="1" applyFill="1" applyBorder="1" applyAlignment="1"/>
    <xf numFmtId="3" fontId="8" fillId="0" borderId="13" xfId="14" applyNumberFormat="1" applyFont="1" applyFill="1" applyBorder="1" applyAlignment="1"/>
    <xf numFmtId="3" fontId="8" fillId="0" borderId="8" xfId="14" applyNumberFormat="1" applyFont="1" applyFill="1" applyBorder="1" applyAlignment="1"/>
    <xf numFmtId="171" fontId="8" fillId="0" borderId="0" xfId="5" applyNumberFormat="1" applyFont="1" applyFill="1" applyAlignment="1">
      <alignment horizontal="center"/>
    </xf>
    <xf numFmtId="171" fontId="8" fillId="0" borderId="0" xfId="5" applyNumberFormat="1" applyFont="1" applyFill="1" applyBorder="1" applyAlignment="1">
      <alignment horizontal="center"/>
    </xf>
    <xf numFmtId="171" fontId="8" fillId="0" borderId="0" xfId="16" applyNumberFormat="1" applyFont="1" applyFill="1" applyAlignment="1">
      <alignment horizontal="center"/>
    </xf>
    <xf numFmtId="171" fontId="8" fillId="0" borderId="0" xfId="15" applyNumberFormat="1" applyFont="1" applyFill="1" applyAlignment="1">
      <alignment horizontal="center"/>
    </xf>
    <xf numFmtId="171" fontId="8" fillId="0" borderId="0" xfId="141" applyNumberFormat="1" applyFont="1" applyFill="1" applyAlignment="1">
      <alignment horizontal="center"/>
    </xf>
    <xf numFmtId="0" fontId="8" fillId="0" borderId="9" xfId="141" applyFont="1" applyFill="1" applyBorder="1"/>
    <xf numFmtId="3" fontId="8" fillId="0" borderId="9" xfId="5" applyFont="1" applyFill="1" applyBorder="1"/>
    <xf numFmtId="171" fontId="8" fillId="0" borderId="9" xfId="5" applyNumberFormat="1" applyFont="1" applyFill="1" applyBorder="1" applyAlignment="1">
      <alignment horizontal="center"/>
    </xf>
    <xf numFmtId="4" fontId="8" fillId="0" borderId="0" xfId="141" applyNumberFormat="1" applyFont="1" applyFill="1"/>
    <xf numFmtId="43" fontId="8" fillId="0" borderId="0" xfId="16" applyFont="1" applyFill="1" applyAlignment="1">
      <alignment horizontal="center"/>
    </xf>
    <xf numFmtId="44" fontId="8" fillId="0" borderId="0" xfId="15" applyFont="1" applyFill="1" applyAlignment="1">
      <alignment horizontal="center"/>
    </xf>
    <xf numFmtId="0" fontId="75" fillId="0" borderId="0" xfId="141" applyFont="1" applyBorder="1" applyAlignment="1">
      <alignment vertical="center"/>
    </xf>
    <xf numFmtId="0" fontId="76" fillId="0" borderId="0" xfId="141" applyFont="1" applyBorder="1" applyAlignment="1">
      <alignment horizontal="center" vertical="center"/>
    </xf>
    <xf numFmtId="0" fontId="77" fillId="0" borderId="0" xfId="141" applyFont="1" applyBorder="1" applyAlignment="1">
      <alignment vertical="center"/>
    </xf>
    <xf numFmtId="173" fontId="77" fillId="0" borderId="0" xfId="141" applyNumberFormat="1" applyFont="1" applyBorder="1" applyAlignment="1">
      <alignment horizontal="center" vertical="center"/>
    </xf>
    <xf numFmtId="164" fontId="78" fillId="0" borderId="0" xfId="93" applyNumberFormat="1" applyFont="1" applyFill="1" applyBorder="1" applyAlignment="1">
      <alignment horizontal="center"/>
    </xf>
    <xf numFmtId="173" fontId="77" fillId="0" borderId="0" xfId="141" applyNumberFormat="1" applyFont="1" applyBorder="1" applyAlignment="1">
      <alignment vertical="center"/>
    </xf>
    <xf numFmtId="0" fontId="8" fillId="0" borderId="17" xfId="141" applyFont="1" applyBorder="1"/>
    <xf numFmtId="0" fontId="71" fillId="0" borderId="17" xfId="141" applyFont="1" applyBorder="1"/>
    <xf numFmtId="0" fontId="8" fillId="0" borderId="9" xfId="141" applyFont="1" applyBorder="1"/>
    <xf numFmtId="0" fontId="8" fillId="0" borderId="2" xfId="141" applyFont="1" applyFill="1" applyBorder="1" applyAlignment="1">
      <alignment horizontal="center" wrapText="1"/>
    </xf>
    <xf numFmtId="0" fontId="8" fillId="0" borderId="28" xfId="141" applyFont="1" applyFill="1" applyBorder="1" applyAlignment="1">
      <alignment horizontal="center" wrapText="1"/>
    </xf>
    <xf numFmtId="0" fontId="8" fillId="0" borderId="2" xfId="14" applyFont="1" applyFill="1" applyBorder="1" applyAlignment="1">
      <alignment horizontal="center" wrapText="1"/>
    </xf>
    <xf numFmtId="0" fontId="8" fillId="0" borderId="5" xfId="141" applyFont="1" applyFill="1" applyBorder="1" applyAlignment="1">
      <alignment horizontal="center" wrapText="1"/>
    </xf>
    <xf numFmtId="0" fontId="8" fillId="0" borderId="11" xfId="141" applyFont="1" applyFill="1" applyBorder="1" applyAlignment="1">
      <alignment horizontal="center"/>
    </xf>
    <xf numFmtId="0" fontId="8" fillId="0" borderId="6" xfId="141" applyFont="1" applyFill="1" applyBorder="1" applyAlignment="1">
      <alignment horizontal="center"/>
    </xf>
    <xf numFmtId="3" fontId="8" fillId="0" borderId="6" xfId="5" applyFont="1" applyFill="1" applyBorder="1" applyAlignment="1">
      <alignment horizontal="center"/>
    </xf>
    <xf numFmtId="0" fontId="8" fillId="0" borderId="0" xfId="14" applyFont="1" applyFill="1" applyAlignment="1">
      <alignment horizontal="center"/>
    </xf>
    <xf numFmtId="0" fontId="8" fillId="0" borderId="6" xfId="14" applyFont="1" applyFill="1" applyBorder="1" applyAlignment="1">
      <alignment horizontal="center"/>
    </xf>
    <xf numFmtId="0" fontId="8" fillId="0" borderId="3" xfId="141" applyFont="1" applyFill="1" applyBorder="1" applyAlignment="1">
      <alignment horizontal="center"/>
    </xf>
    <xf numFmtId="5" fontId="8" fillId="0" borderId="29" xfId="41" applyNumberFormat="1" applyFont="1" applyFill="1" applyBorder="1" applyAlignment="1"/>
    <xf numFmtId="5" fontId="8" fillId="0" borderId="7" xfId="41" applyNumberFormat="1" applyFont="1" applyFill="1" applyBorder="1" applyAlignment="1"/>
    <xf numFmtId="5" fontId="8" fillId="0" borderId="0" xfId="41" applyNumberFormat="1" applyFont="1" applyFill="1" applyAlignment="1"/>
    <xf numFmtId="5" fontId="8" fillId="0" borderId="0" xfId="141" applyNumberFormat="1" applyFont="1" applyFill="1" applyAlignment="1"/>
    <xf numFmtId="5" fontId="8" fillId="0" borderId="29" xfId="141" applyNumberFormat="1" applyFont="1" applyFill="1" applyBorder="1" applyAlignment="1"/>
    <xf numFmtId="10" fontId="8" fillId="0" borderId="4" xfId="93" applyNumberFormat="1" applyFont="1" applyFill="1" applyBorder="1" applyAlignment="1"/>
    <xf numFmtId="37" fontId="8" fillId="0" borderId="29" xfId="141" applyNumberFormat="1" applyFont="1" applyFill="1" applyBorder="1" applyAlignment="1"/>
    <xf numFmtId="37" fontId="8" fillId="0" borderId="7" xfId="41" applyNumberFormat="1" applyFont="1" applyFill="1" applyBorder="1" applyAlignment="1"/>
    <xf numFmtId="37" fontId="8" fillId="0" borderId="0" xfId="5" applyNumberFormat="1" applyFont="1" applyFill="1" applyAlignment="1"/>
    <xf numFmtId="37" fontId="8" fillId="0" borderId="29" xfId="41" applyNumberFormat="1" applyFont="1" applyFill="1" applyBorder="1" applyAlignment="1"/>
    <xf numFmtId="170" fontId="8" fillId="0" borderId="29" xfId="16" applyNumberFormat="1" applyFont="1" applyFill="1" applyBorder="1" applyAlignment="1"/>
    <xf numFmtId="37" fontId="8" fillId="0" borderId="0" xfId="41" applyNumberFormat="1" applyFont="1" applyFill="1" applyAlignment="1"/>
    <xf numFmtId="37" fontId="8" fillId="0" borderId="7" xfId="5" applyNumberFormat="1" applyFont="1" applyFill="1" applyBorder="1" applyAlignment="1"/>
    <xf numFmtId="37" fontId="8" fillId="0" borderId="29" xfId="5" applyNumberFormat="1" applyFont="1" applyFill="1" applyBorder="1" applyAlignment="1"/>
    <xf numFmtId="0" fontId="8" fillId="0" borderId="4" xfId="15" applyNumberFormat="1" applyFont="1" applyBorder="1" applyAlignment="1">
      <alignment horizontal="left"/>
    </xf>
    <xf numFmtId="37" fontId="8" fillId="0" borderId="13" xfId="141" applyNumberFormat="1" applyFont="1" applyFill="1" applyBorder="1" applyAlignment="1"/>
    <xf numFmtId="37" fontId="8" fillId="0" borderId="8" xfId="41" applyNumberFormat="1" applyFont="1" applyFill="1" applyBorder="1" applyAlignment="1"/>
    <xf numFmtId="3" fontId="8" fillId="0" borderId="13" xfId="15" applyNumberFormat="1" applyFont="1" applyFill="1" applyBorder="1" applyAlignment="1">
      <alignment horizontal="right"/>
    </xf>
    <xf numFmtId="37" fontId="8" fillId="0" borderId="13" xfId="5" applyNumberFormat="1" applyFont="1" applyFill="1" applyBorder="1" applyAlignment="1"/>
    <xf numFmtId="5" fontId="8" fillId="0" borderId="13" xfId="141" applyNumberFormat="1" applyFont="1" applyFill="1" applyBorder="1" applyAlignment="1"/>
    <xf numFmtId="37" fontId="8" fillId="0" borderId="13" xfId="41" applyNumberFormat="1" applyFont="1" applyFill="1" applyBorder="1" applyAlignment="1"/>
    <xf numFmtId="170" fontId="8" fillId="0" borderId="13" xfId="16" applyNumberFormat="1" applyFont="1" applyFill="1" applyBorder="1" applyAlignment="1"/>
    <xf numFmtId="37" fontId="8" fillId="0" borderId="9" xfId="41" applyNumberFormat="1" applyFont="1" applyFill="1" applyBorder="1" applyAlignment="1"/>
    <xf numFmtId="10" fontId="8" fillId="0" borderId="5" xfId="93" applyNumberFormat="1" applyFont="1" applyFill="1" applyBorder="1" applyAlignment="1"/>
    <xf numFmtId="10" fontId="8" fillId="0" borderId="0" xfId="93" applyNumberFormat="1" applyFont="1" applyFill="1" applyAlignment="1">
      <alignment horizontal="center"/>
    </xf>
    <xf numFmtId="3" fontId="8" fillId="0" borderId="9" xfId="5" applyFont="1" applyFill="1" applyBorder="1" applyAlignment="1">
      <alignment horizontal="center"/>
    </xf>
    <xf numFmtId="0" fontId="8" fillId="0" borderId="11" xfId="141" applyFont="1" applyFill="1" applyBorder="1" applyAlignment="1">
      <alignment horizontal="left" indent="1"/>
    </xf>
    <xf numFmtId="0" fontId="8" fillId="0" borderId="12" xfId="141" applyFont="1" applyFill="1" applyBorder="1" applyAlignment="1">
      <alignment horizontal="center"/>
    </xf>
    <xf numFmtId="167" fontId="8" fillId="0" borderId="12" xfId="141" applyNumberFormat="1" applyFont="1" applyFill="1" applyBorder="1" applyAlignment="1">
      <alignment horizontal="right"/>
    </xf>
    <xf numFmtId="167" fontId="8" fillId="0" borderId="12" xfId="5" applyNumberFormat="1" applyFont="1" applyFill="1" applyBorder="1" applyAlignment="1">
      <alignment horizontal="right"/>
    </xf>
    <xf numFmtId="167" fontId="8" fillId="0" borderId="0" xfId="141" applyNumberFormat="1" applyFont="1" applyFill="1" applyAlignment="1">
      <alignment horizontal="right"/>
    </xf>
    <xf numFmtId="167" fontId="8" fillId="0" borderId="12" xfId="141" quotePrefix="1" applyNumberFormat="1" applyFont="1" applyFill="1" applyBorder="1" applyAlignment="1">
      <alignment horizontal="right"/>
    </xf>
    <xf numFmtId="167" fontId="8" fillId="0" borderId="12" xfId="14" applyNumberFormat="1" applyFont="1" applyFill="1" applyBorder="1" applyAlignment="1">
      <alignment horizontal="right"/>
    </xf>
    <xf numFmtId="167" fontId="8" fillId="0" borderId="12" xfId="14" quotePrefix="1" applyNumberFormat="1" applyFont="1" applyFill="1" applyBorder="1" applyAlignment="1">
      <alignment horizontal="right"/>
    </xf>
    <xf numFmtId="174" fontId="8" fillId="0" borderId="12" xfId="141" applyNumberFormat="1" applyFont="1" applyBorder="1"/>
    <xf numFmtId="167" fontId="8" fillId="0" borderId="6" xfId="141" quotePrefix="1" applyNumberFormat="1" applyFont="1" applyFill="1" applyBorder="1" applyAlignment="1">
      <alignment horizontal="right"/>
    </xf>
    <xf numFmtId="0" fontId="8" fillId="0" borderId="13" xfId="141" applyFont="1" applyFill="1" applyBorder="1" applyAlignment="1">
      <alignment horizontal="left" indent="1"/>
    </xf>
    <xf numFmtId="0" fontId="8" fillId="0" borderId="9" xfId="141" applyFont="1" applyFill="1" applyBorder="1" applyAlignment="1">
      <alignment horizontal="center"/>
    </xf>
    <xf numFmtId="175" fontId="8" fillId="0" borderId="9" xfId="141" applyNumberFormat="1" applyFont="1" applyFill="1" applyBorder="1" applyAlignment="1">
      <alignment horizontal="right"/>
    </xf>
    <xf numFmtId="175" fontId="8" fillId="0" borderId="9" xfId="14" applyNumberFormat="1" applyFont="1" applyFill="1" applyBorder="1" applyAlignment="1">
      <alignment horizontal="right"/>
    </xf>
    <xf numFmtId="175" fontId="8" fillId="0" borderId="8" xfId="141" applyNumberFormat="1" applyFont="1" applyFill="1" applyBorder="1" applyAlignment="1">
      <alignment horizontal="right"/>
    </xf>
    <xf numFmtId="0" fontId="8" fillId="0" borderId="0" xfId="141" applyFont="1" applyFill="1" applyAlignment="1">
      <alignment horizontal="left" indent="1"/>
    </xf>
    <xf numFmtId="0" fontId="11" fillId="0" borderId="17" xfId="141" applyFont="1" applyBorder="1"/>
    <xf numFmtId="0" fontId="8" fillId="0" borderId="2" xfId="141" applyFont="1" applyBorder="1" applyAlignment="1">
      <alignment horizontal="center"/>
    </xf>
    <xf numFmtId="0" fontId="8" fillId="0" borderId="18" xfId="141" applyFont="1" applyBorder="1"/>
    <xf numFmtId="165" fontId="8" fillId="0" borderId="0" xfId="141" applyNumberFormat="1" applyFont="1"/>
    <xf numFmtId="0" fontId="8" fillId="0" borderId="18" xfId="141" applyFont="1" applyFill="1" applyBorder="1"/>
    <xf numFmtId="0" fontId="81" fillId="0" borderId="0" xfId="141" applyFont="1" applyAlignment="1">
      <alignment horizontal="center"/>
    </xf>
    <xf numFmtId="171" fontId="8" fillId="0" borderId="0" xfId="141" applyNumberFormat="1" applyFont="1" applyFill="1"/>
    <xf numFmtId="171" fontId="8" fillId="0" borderId="0" xfId="16" applyNumberFormat="1" applyFont="1" applyFill="1"/>
    <xf numFmtId="43" fontId="8" fillId="0" borderId="0" xfId="16" applyFont="1" applyFill="1"/>
    <xf numFmtId="4" fontId="8" fillId="0" borderId="9" xfId="141" applyNumberFormat="1" applyFont="1" applyFill="1" applyBorder="1"/>
    <xf numFmtId="43" fontId="8" fillId="0" borderId="9" xfId="16" applyFont="1" applyFill="1" applyBorder="1"/>
    <xf numFmtId="171" fontId="29" fillId="0" borderId="0" xfId="141" applyNumberFormat="1" applyFont="1"/>
    <xf numFmtId="3" fontId="8" fillId="0" borderId="0" xfId="141" applyNumberFormat="1" applyFont="1" applyFill="1"/>
    <xf numFmtId="10" fontId="8" fillId="0" borderId="0" xfId="93" applyNumberFormat="1" applyFont="1"/>
    <xf numFmtId="0" fontId="8" fillId="0" borderId="0" xfId="141" applyFont="1" applyBorder="1" applyAlignment="1">
      <alignment horizontal="left"/>
    </xf>
    <xf numFmtId="0" fontId="8" fillId="0" borderId="0" xfId="141" applyFont="1" applyBorder="1" applyAlignment="1">
      <alignment wrapText="1"/>
    </xf>
    <xf numFmtId="0" fontId="8" fillId="0" borderId="0" xfId="141" applyFont="1" applyAlignment="1">
      <alignment wrapText="1"/>
    </xf>
    <xf numFmtId="0" fontId="71" fillId="0" borderId="0" xfId="141" applyFont="1"/>
    <xf numFmtId="0" fontId="8" fillId="0" borderId="8" xfId="141" applyFont="1" applyBorder="1"/>
    <xf numFmtId="44" fontId="8" fillId="0" borderId="2" xfId="15" applyNumberFormat="1" applyFont="1" applyBorder="1" applyAlignment="1">
      <alignment horizontal="center"/>
    </xf>
    <xf numFmtId="44" fontId="8" fillId="4" borderId="2" xfId="15" applyNumberFormat="1" applyFont="1" applyFill="1" applyBorder="1" applyAlignment="1">
      <alignment horizontal="center"/>
    </xf>
    <xf numFmtId="0" fontId="8" fillId="0" borderId="11" xfId="141" applyFont="1" applyBorder="1"/>
    <xf numFmtId="38" fontId="8" fillId="0" borderId="11" xfId="15" applyNumberFormat="1" applyFont="1" applyBorder="1" applyAlignment="1">
      <alignment horizontal="right"/>
    </xf>
    <xf numFmtId="38" fontId="8" fillId="0" borderId="12" xfId="15" applyNumberFormat="1" applyFont="1" applyBorder="1" applyAlignment="1">
      <alignment horizontal="right"/>
    </xf>
    <xf numFmtId="38" fontId="8" fillId="0" borderId="6" xfId="15" applyNumberFormat="1" applyFont="1" applyBorder="1" applyAlignment="1">
      <alignment horizontal="right"/>
    </xf>
    <xf numFmtId="38" fontId="8" fillId="4" borderId="11" xfId="15" applyNumberFormat="1" applyFont="1" applyFill="1" applyBorder="1" applyAlignment="1">
      <alignment horizontal="right"/>
    </xf>
    <xf numFmtId="38" fontId="8" fillId="4" borderId="12" xfId="15" applyNumberFormat="1" applyFont="1" applyFill="1" applyBorder="1" applyAlignment="1">
      <alignment horizontal="right"/>
    </xf>
    <xf numFmtId="38" fontId="8" fillId="4" borderId="6" xfId="15" applyNumberFormat="1" applyFont="1" applyFill="1" applyBorder="1" applyAlignment="1">
      <alignment horizontal="right"/>
    </xf>
    <xf numFmtId="0" fontId="8" fillId="0" borderId="3" xfId="141" applyFont="1" applyBorder="1"/>
    <xf numFmtId="2" fontId="8" fillId="0" borderId="11" xfId="141" applyNumberFormat="1" applyFont="1" applyBorder="1"/>
    <xf numFmtId="0" fontId="8" fillId="0" borderId="12" xfId="141" applyFont="1" applyBorder="1"/>
    <xf numFmtId="2" fontId="8" fillId="0" borderId="6" xfId="141" applyNumberFormat="1" applyFont="1" applyBorder="1"/>
    <xf numFmtId="2" fontId="8" fillId="4" borderId="11" xfId="141" applyNumberFormat="1" applyFont="1" applyFill="1" applyBorder="1"/>
    <xf numFmtId="0" fontId="8" fillId="4" borderId="12" xfId="141" applyFont="1" applyFill="1" applyBorder="1"/>
    <xf numFmtId="0" fontId="8" fillId="4" borderId="6" xfId="141" applyFont="1" applyFill="1" applyBorder="1"/>
    <xf numFmtId="0" fontId="8" fillId="0" borderId="29" xfId="141" applyFont="1" applyBorder="1"/>
    <xf numFmtId="0" fontId="8" fillId="0" borderId="7" xfId="141" applyFont="1" applyFill="1" applyBorder="1"/>
    <xf numFmtId="38" fontId="8" fillId="0" borderId="29" xfId="15" applyNumberFormat="1" applyFont="1" applyBorder="1" applyAlignment="1">
      <alignment horizontal="right"/>
    </xf>
    <xf numFmtId="38" fontId="8" fillId="0" borderId="0" xfId="15" applyNumberFormat="1" applyFont="1" applyBorder="1" applyAlignment="1">
      <alignment horizontal="right"/>
    </xf>
    <xf numFmtId="38" fontId="8" fillId="0" borderId="7" xfId="15" applyNumberFormat="1" applyFont="1" applyBorder="1" applyAlignment="1">
      <alignment horizontal="right"/>
    </xf>
    <xf numFmtId="38" fontId="8" fillId="4" borderId="29" xfId="15" applyNumberFormat="1" applyFont="1" applyFill="1" applyBorder="1" applyAlignment="1">
      <alignment horizontal="right"/>
    </xf>
    <xf numFmtId="38" fontId="8" fillId="4" borderId="0" xfId="15" applyNumberFormat="1" applyFont="1" applyFill="1" applyBorder="1" applyAlignment="1">
      <alignment horizontal="right"/>
    </xf>
    <xf numFmtId="38" fontId="8" fillId="4" borderId="7" xfId="15" applyNumberFormat="1" applyFont="1" applyFill="1" applyBorder="1" applyAlignment="1">
      <alignment horizontal="right"/>
    </xf>
    <xf numFmtId="0" fontId="8" fillId="0" borderId="5" xfId="141" applyFont="1" applyBorder="1"/>
    <xf numFmtId="2" fontId="8" fillId="0" borderId="13" xfId="141" applyNumberFormat="1" applyFont="1" applyBorder="1"/>
    <xf numFmtId="2" fontId="8" fillId="0" borderId="8" xfId="141" applyNumberFormat="1" applyFont="1" applyBorder="1"/>
    <xf numFmtId="2" fontId="8" fillId="4" borderId="13" xfId="141" applyNumberFormat="1" applyFont="1" applyFill="1" applyBorder="1"/>
    <xf numFmtId="0" fontId="8" fillId="4" borderId="9" xfId="141" applyFont="1" applyFill="1" applyBorder="1"/>
    <xf numFmtId="2" fontId="8" fillId="4" borderId="8" xfId="141" applyNumberFormat="1" applyFont="1" applyFill="1" applyBorder="1"/>
    <xf numFmtId="38" fontId="8" fillId="0" borderId="12" xfId="15" applyNumberFormat="1" applyFont="1" applyFill="1" applyBorder="1" applyAlignment="1">
      <alignment horizontal="right"/>
    </xf>
    <xf numFmtId="38" fontId="8" fillId="0" borderId="6" xfId="15" applyNumberFormat="1" applyFont="1" applyFill="1" applyBorder="1" applyAlignment="1">
      <alignment horizontal="right"/>
    </xf>
    <xf numFmtId="2" fontId="71" fillId="0" borderId="0" xfId="141" applyNumberFormat="1" applyFont="1" applyFill="1" applyBorder="1"/>
    <xf numFmtId="2" fontId="8" fillId="0" borderId="0" xfId="141" applyNumberFormat="1" applyFont="1" applyFill="1" applyBorder="1"/>
    <xf numFmtId="38" fontId="8" fillId="0" borderId="0" xfId="15" applyNumberFormat="1" applyFont="1" applyFill="1" applyBorder="1" applyAlignment="1">
      <alignment horizontal="right"/>
    </xf>
    <xf numFmtId="0" fontId="8" fillId="0" borderId="29" xfId="141" applyFont="1" applyFill="1" applyBorder="1"/>
    <xf numFmtId="38" fontId="8" fillId="0" borderId="7" xfId="15" applyNumberFormat="1" applyFont="1" applyFill="1" applyBorder="1" applyAlignment="1">
      <alignment horizontal="right"/>
    </xf>
    <xf numFmtId="2" fontId="8" fillId="0" borderId="29" xfId="141" applyNumberFormat="1" applyFont="1" applyBorder="1"/>
    <xf numFmtId="2" fontId="8" fillId="0" borderId="7" xfId="141" applyNumberFormat="1" applyFont="1" applyBorder="1"/>
    <xf numFmtId="2" fontId="8" fillId="4" borderId="29" xfId="141" applyNumberFormat="1" applyFont="1" applyFill="1" applyBorder="1"/>
    <xf numFmtId="0" fontId="8" fillId="4" borderId="0" xfId="141" applyFont="1" applyFill="1" applyBorder="1"/>
    <xf numFmtId="2" fontId="8" fillId="4" borderId="7" xfId="141" applyNumberFormat="1" applyFont="1" applyFill="1" applyBorder="1"/>
    <xf numFmtId="0" fontId="8" fillId="4" borderId="8" xfId="141" applyFont="1" applyFill="1" applyBorder="1"/>
    <xf numFmtId="0" fontId="8" fillId="0" borderId="10" xfId="141" applyFont="1" applyFill="1" applyBorder="1"/>
    <xf numFmtId="165" fontId="8" fillId="0" borderId="10" xfId="15" applyNumberFormat="1" applyFont="1" applyBorder="1" applyAlignment="1">
      <alignment horizontal="right"/>
    </xf>
    <xf numFmtId="165" fontId="8" fillId="0" borderId="27" xfId="15" applyNumberFormat="1" applyFont="1" applyBorder="1" applyAlignment="1">
      <alignment horizontal="right"/>
    </xf>
    <xf numFmtId="165" fontId="8" fillId="0" borderId="28" xfId="15" applyNumberFormat="1" applyFont="1" applyFill="1" applyBorder="1" applyAlignment="1">
      <alignment horizontal="right"/>
    </xf>
    <xf numFmtId="165" fontId="8" fillId="4" borderId="10" xfId="15" applyNumberFormat="1" applyFont="1" applyFill="1" applyBorder="1" applyAlignment="1">
      <alignment horizontal="right"/>
    </xf>
    <xf numFmtId="165" fontId="8" fillId="4" borderId="27" xfId="15" applyNumberFormat="1" applyFont="1" applyFill="1" applyBorder="1" applyAlignment="1">
      <alignment horizontal="right"/>
    </xf>
    <xf numFmtId="165" fontId="8" fillId="4" borderId="28" xfId="15" applyNumberFormat="1" applyFont="1" applyFill="1" applyBorder="1" applyAlignment="1">
      <alignment horizontal="right"/>
    </xf>
    <xf numFmtId="40" fontId="8" fillId="0" borderId="10" xfId="15" applyNumberFormat="1" applyFont="1" applyBorder="1" applyAlignment="1">
      <alignment horizontal="right"/>
    </xf>
    <xf numFmtId="40" fontId="8" fillId="0" borderId="27" xfId="15" applyNumberFormat="1" applyFont="1" applyBorder="1" applyAlignment="1">
      <alignment horizontal="right"/>
    </xf>
    <xf numFmtId="40" fontId="8" fillId="0" borderId="28" xfId="15" applyNumberFormat="1" applyFont="1" applyFill="1" applyBorder="1" applyAlignment="1">
      <alignment horizontal="right"/>
    </xf>
    <xf numFmtId="40" fontId="8" fillId="4" borderId="10" xfId="15" applyNumberFormat="1" applyFont="1" applyFill="1" applyBorder="1" applyAlignment="1">
      <alignment horizontal="right"/>
    </xf>
    <xf numFmtId="40" fontId="8" fillId="4" borderId="27" xfId="15" applyNumberFormat="1" applyFont="1" applyFill="1" applyBorder="1" applyAlignment="1">
      <alignment horizontal="right"/>
    </xf>
    <xf numFmtId="40" fontId="8" fillId="4" borderId="28" xfId="15" applyNumberFormat="1" applyFont="1" applyFill="1" applyBorder="1" applyAlignment="1">
      <alignment horizontal="right"/>
    </xf>
    <xf numFmtId="165" fontId="8" fillId="0" borderId="0" xfId="15" applyNumberFormat="1" applyFont="1" applyBorder="1" applyAlignment="1">
      <alignment horizontal="right"/>
    </xf>
    <xf numFmtId="165" fontId="8" fillId="0" borderId="12" xfId="15" applyNumberFormat="1" applyFont="1" applyFill="1" applyBorder="1" applyAlignment="1">
      <alignment horizontal="right"/>
    </xf>
    <xf numFmtId="165" fontId="8" fillId="0" borderId="7" xfId="15" applyNumberFormat="1" applyFont="1" applyFill="1" applyBorder="1" applyAlignment="1">
      <alignment horizontal="right"/>
    </xf>
    <xf numFmtId="40" fontId="8" fillId="0" borderId="0" xfId="15" applyNumberFormat="1" applyFont="1" applyFill="1" applyBorder="1" applyAlignment="1">
      <alignment horizontal="right"/>
    </xf>
    <xf numFmtId="0" fontId="8" fillId="0" borderId="13" xfId="141" applyFont="1" applyFill="1" applyBorder="1"/>
    <xf numFmtId="38" fontId="8" fillId="0" borderId="9" xfId="15" applyNumberFormat="1" applyFont="1" applyBorder="1" applyAlignment="1">
      <alignment horizontal="right"/>
    </xf>
    <xf numFmtId="38" fontId="8" fillId="0" borderId="9" xfId="15" applyNumberFormat="1" applyFont="1" applyFill="1" applyBorder="1" applyAlignment="1">
      <alignment horizontal="right"/>
    </xf>
    <xf numFmtId="38" fontId="8" fillId="0" borderId="8" xfId="15" applyNumberFormat="1" applyFont="1" applyFill="1" applyBorder="1" applyAlignment="1">
      <alignment horizontal="right"/>
    </xf>
    <xf numFmtId="40" fontId="8" fillId="0" borderId="0" xfId="141" applyNumberFormat="1" applyFont="1"/>
    <xf numFmtId="6" fontId="8" fillId="0" borderId="11" xfId="15" applyNumberFormat="1" applyFont="1" applyBorder="1" applyAlignment="1">
      <alignment horizontal="right"/>
    </xf>
    <xf numFmtId="6" fontId="8" fillId="0" borderId="12" xfId="141" applyNumberFormat="1" applyFont="1" applyBorder="1" applyAlignment="1">
      <alignment horizontal="right"/>
    </xf>
    <xf numFmtId="6" fontId="8" fillId="4" borderId="11" xfId="15" applyNumberFormat="1" applyFont="1" applyFill="1" applyBorder="1" applyAlignment="1">
      <alignment horizontal="right"/>
    </xf>
    <xf numFmtId="6" fontId="8" fillId="4" borderId="12" xfId="141" applyNumberFormat="1" applyFont="1" applyFill="1" applyBorder="1" applyAlignment="1">
      <alignment horizontal="right"/>
    </xf>
    <xf numFmtId="38" fontId="8" fillId="0" borderId="12" xfId="15" applyNumberFormat="1" applyFont="1" applyBorder="1" applyAlignment="1">
      <alignment vertical="center"/>
    </xf>
    <xf numFmtId="38" fontId="8" fillId="0" borderId="12" xfId="15" applyNumberFormat="1" applyFont="1" applyFill="1" applyBorder="1" applyAlignment="1">
      <alignment vertical="center"/>
    </xf>
    <xf numFmtId="38" fontId="8" fillId="0" borderId="6" xfId="15" applyNumberFormat="1" applyFont="1" applyFill="1" applyBorder="1" applyAlignment="1">
      <alignment vertical="center"/>
    </xf>
    <xf numFmtId="38" fontId="8" fillId="0" borderId="9" xfId="15" applyNumberFormat="1" applyFont="1" applyBorder="1" applyAlignment="1">
      <alignment vertical="center"/>
    </xf>
    <xf numFmtId="38" fontId="8" fillId="0" borderId="9" xfId="15" applyNumberFormat="1" applyFont="1" applyFill="1" applyBorder="1" applyAlignment="1">
      <alignment vertical="center"/>
    </xf>
    <xf numFmtId="38" fontId="8" fillId="0" borderId="8" xfId="15" applyNumberFormat="1" applyFont="1" applyFill="1" applyBorder="1" applyAlignment="1">
      <alignment vertical="center"/>
    </xf>
    <xf numFmtId="6" fontId="8" fillId="0" borderId="29" xfId="15" applyNumberFormat="1" applyFont="1" applyBorder="1" applyAlignment="1">
      <alignment horizontal="right"/>
    </xf>
    <xf numFmtId="6" fontId="8" fillId="0" borderId="0" xfId="141" applyNumberFormat="1" applyFont="1" applyBorder="1" applyAlignment="1">
      <alignment horizontal="right"/>
    </xf>
    <xf numFmtId="6" fontId="8" fillId="0" borderId="7" xfId="15" applyNumberFormat="1" applyFont="1" applyBorder="1" applyAlignment="1">
      <alignment horizontal="right"/>
    </xf>
    <xf numFmtId="6" fontId="8" fillId="4" borderId="29" xfId="15" applyNumberFormat="1" applyFont="1" applyFill="1" applyBorder="1" applyAlignment="1">
      <alignment horizontal="right"/>
    </xf>
    <xf numFmtId="6" fontId="8" fillId="4" borderId="0" xfId="141" applyNumberFormat="1" applyFont="1" applyFill="1" applyBorder="1" applyAlignment="1">
      <alignment horizontal="right"/>
    </xf>
    <xf numFmtId="6" fontId="8" fillId="4" borderId="7" xfId="15" applyNumberFormat="1" applyFont="1" applyFill="1" applyBorder="1" applyAlignment="1">
      <alignment horizontal="right"/>
    </xf>
    <xf numFmtId="2" fontId="8" fillId="0" borderId="12" xfId="141" applyNumberFormat="1" applyFont="1" applyBorder="1"/>
    <xf numFmtId="2" fontId="8" fillId="4" borderId="6" xfId="141" applyNumberFormat="1" applyFont="1" applyFill="1" applyBorder="1"/>
    <xf numFmtId="0" fontId="8" fillId="0" borderId="4" xfId="141" applyFont="1" applyBorder="1"/>
    <xf numFmtId="2" fontId="8" fillId="0" borderId="0" xfId="141" applyNumberFormat="1" applyFont="1" applyBorder="1"/>
    <xf numFmtId="0" fontId="8" fillId="4" borderId="7" xfId="141" applyFont="1" applyFill="1" applyBorder="1"/>
    <xf numFmtId="2" fontId="8" fillId="4" borderId="0" xfId="141" applyNumberFormat="1" applyFont="1" applyFill="1" applyBorder="1"/>
    <xf numFmtId="0" fontId="8" fillId="0" borderId="13" xfId="141" applyFont="1" applyBorder="1"/>
    <xf numFmtId="0" fontId="8" fillId="0" borderId="8" xfId="141" applyFont="1" applyFill="1" applyBorder="1"/>
    <xf numFmtId="38" fontId="8" fillId="0" borderId="13" xfId="15" applyNumberFormat="1" applyFont="1" applyBorder="1" applyAlignment="1">
      <alignment horizontal="right"/>
    </xf>
    <xf numFmtId="38" fontId="8" fillId="4" borderId="13" xfId="15" applyNumberFormat="1" applyFont="1" applyFill="1" applyBorder="1" applyAlignment="1">
      <alignment horizontal="right"/>
    </xf>
    <xf numFmtId="38" fontId="8" fillId="4" borderId="9" xfId="15" applyNumberFormat="1" applyFont="1" applyFill="1" applyBorder="1" applyAlignment="1">
      <alignment horizontal="right"/>
    </xf>
    <xf numFmtId="38" fontId="8" fillId="4" borderId="8" xfId="15" applyNumberFormat="1" applyFont="1" applyFill="1" applyBorder="1" applyAlignment="1">
      <alignment horizontal="right"/>
    </xf>
    <xf numFmtId="2" fontId="8" fillId="0" borderId="9" xfId="141" applyNumberFormat="1" applyFont="1" applyBorder="1"/>
    <xf numFmtId="0" fontId="8" fillId="0" borderId="10" xfId="141" applyFont="1" applyBorder="1"/>
    <xf numFmtId="0" fontId="8" fillId="0" borderId="27" xfId="141" applyFont="1" applyFill="1" applyBorder="1"/>
    <xf numFmtId="40" fontId="8" fillId="0" borderId="27" xfId="141" applyNumberFormat="1" applyFont="1" applyBorder="1"/>
    <xf numFmtId="40" fontId="8" fillId="0" borderId="27" xfId="15" applyNumberFormat="1" applyFont="1" applyFill="1" applyBorder="1" applyAlignment="1">
      <alignment horizontal="right"/>
    </xf>
    <xf numFmtId="40" fontId="8" fillId="0" borderId="27" xfId="141" applyNumberFormat="1" applyFont="1" applyFill="1" applyBorder="1"/>
    <xf numFmtId="40" fontId="8" fillId="0" borderId="0" xfId="15" applyNumberFormat="1" applyFont="1" applyBorder="1" applyAlignment="1">
      <alignment horizontal="right"/>
    </xf>
    <xf numFmtId="40" fontId="8" fillId="0" borderId="0" xfId="141" applyNumberFormat="1" applyFont="1" applyBorder="1"/>
    <xf numFmtId="40" fontId="8" fillId="0" borderId="0" xfId="141" applyNumberFormat="1" applyFont="1" applyFill="1" applyBorder="1"/>
    <xf numFmtId="6" fontId="8" fillId="0" borderId="12" xfId="15" applyNumberFormat="1" applyFont="1" applyBorder="1" applyAlignment="1">
      <alignment horizontal="right"/>
    </xf>
    <xf numFmtId="6" fontId="8" fillId="0" borderId="6" xfId="15" applyNumberFormat="1" applyFont="1" applyBorder="1" applyAlignment="1">
      <alignment horizontal="right"/>
    </xf>
    <xf numFmtId="6" fontId="8" fillId="4" borderId="6" xfId="15" applyNumberFormat="1" applyFont="1" applyFill="1" applyBorder="1" applyAlignment="1">
      <alignment horizontal="right"/>
    </xf>
    <xf numFmtId="0" fontId="8" fillId="4" borderId="11" xfId="141" applyFont="1" applyFill="1" applyBorder="1"/>
    <xf numFmtId="2" fontId="8" fillId="4" borderId="12" xfId="141" applyNumberFormat="1" applyFont="1" applyFill="1" applyBorder="1"/>
    <xf numFmtId="38" fontId="8" fillId="0" borderId="7" xfId="15" applyNumberFormat="1" applyFont="1" applyBorder="1" applyAlignment="1"/>
    <xf numFmtId="0" fontId="8" fillId="4" borderId="29" xfId="141" applyFont="1" applyFill="1" applyBorder="1"/>
    <xf numFmtId="38" fontId="8" fillId="0" borderId="8" xfId="15" applyNumberFormat="1" applyFont="1" applyBorder="1" applyAlignment="1"/>
    <xf numFmtId="0" fontId="8" fillId="4" borderId="13" xfId="141" applyFont="1" applyFill="1" applyBorder="1"/>
    <xf numFmtId="6" fontId="8" fillId="0" borderId="11" xfId="141" applyNumberFormat="1" applyFont="1" applyFill="1" applyBorder="1" applyAlignment="1">
      <alignment horizontal="right" vertical="center"/>
    </xf>
    <xf numFmtId="6" fontId="8" fillId="0" borderId="12" xfId="141" applyNumberFormat="1" applyFont="1" applyBorder="1" applyAlignment="1">
      <alignment horizontal="right" vertical="center"/>
    </xf>
    <xf numFmtId="6" fontId="8" fillId="0" borderId="6" xfId="15" applyNumberFormat="1" applyFont="1" applyBorder="1" applyAlignment="1">
      <alignment horizontal="right" vertical="center"/>
    </xf>
    <xf numFmtId="6" fontId="8" fillId="4" borderId="11" xfId="141" applyNumberFormat="1" applyFont="1" applyFill="1" applyBorder="1" applyAlignment="1">
      <alignment horizontal="right" vertical="center"/>
    </xf>
    <xf numFmtId="6" fontId="8" fillId="4" borderId="12" xfId="141" applyNumberFormat="1" applyFont="1" applyFill="1" applyBorder="1" applyAlignment="1">
      <alignment horizontal="right" vertical="center"/>
    </xf>
    <xf numFmtId="6" fontId="8" fillId="4" borderId="6" xfId="15" applyNumberFormat="1" applyFont="1" applyFill="1" applyBorder="1" applyAlignment="1">
      <alignment horizontal="right" vertical="center"/>
    </xf>
    <xf numFmtId="40" fontId="71" fillId="0" borderId="0" xfId="141" applyNumberFormat="1" applyFont="1" applyFill="1" applyBorder="1"/>
    <xf numFmtId="40" fontId="71" fillId="0" borderId="0" xfId="141" applyNumberFormat="1" applyFont="1" applyBorder="1"/>
    <xf numFmtId="6" fontId="8" fillId="0" borderId="10" xfId="15" applyNumberFormat="1" applyFont="1" applyBorder="1" applyAlignment="1">
      <alignment horizontal="right"/>
    </xf>
    <xf numFmtId="6" fontId="8" fillId="0" borderId="27" xfId="141" applyNumberFormat="1" applyFont="1" applyBorder="1" applyAlignment="1">
      <alignment horizontal="right"/>
    </xf>
    <xf numFmtId="6" fontId="8" fillId="0" borderId="27" xfId="15" applyNumberFormat="1" applyFont="1" applyBorder="1" applyAlignment="1">
      <alignment horizontal="right"/>
    </xf>
    <xf numFmtId="6" fontId="8" fillId="4" borderId="10" xfId="15" applyNumberFormat="1" applyFont="1" applyFill="1" applyBorder="1" applyAlignment="1">
      <alignment horizontal="right"/>
    </xf>
    <xf numFmtId="6" fontId="8" fillId="4" borderId="27" xfId="141" applyNumberFormat="1" applyFont="1" applyFill="1" applyBorder="1" applyAlignment="1">
      <alignment horizontal="right"/>
    </xf>
    <xf numFmtId="6" fontId="8" fillId="4" borderId="28" xfId="15" applyNumberFormat="1" applyFont="1" applyFill="1" applyBorder="1" applyAlignment="1">
      <alignment horizontal="right"/>
    </xf>
    <xf numFmtId="0" fontId="8" fillId="0" borderId="27" xfId="141" applyFont="1" applyBorder="1"/>
    <xf numFmtId="0" fontId="8" fillId="4" borderId="10" xfId="141" applyFont="1" applyFill="1" applyBorder="1"/>
    <xf numFmtId="0" fontId="8" fillId="4" borderId="27" xfId="141" applyFont="1" applyFill="1" applyBorder="1"/>
    <xf numFmtId="0" fontId="8" fillId="4" borderId="28" xfId="141" applyFont="1" applyFill="1" applyBorder="1"/>
    <xf numFmtId="0" fontId="24" fillId="0" borderId="17" xfId="141" applyFont="1" applyBorder="1"/>
    <xf numFmtId="0" fontId="11" fillId="0" borderId="0" xfId="141" applyFont="1" applyBorder="1"/>
    <xf numFmtId="0" fontId="29" fillId="0" borderId="0" xfId="141" applyFont="1" applyBorder="1"/>
    <xf numFmtId="0" fontId="8" fillId="0" borderId="0" xfId="141" applyFont="1" applyBorder="1" applyAlignment="1">
      <alignment horizontal="center"/>
    </xf>
    <xf numFmtId="0" fontId="8" fillId="0" borderId="2" xfId="141" applyFont="1" applyBorder="1" applyAlignment="1">
      <alignment horizontal="center" wrapText="1"/>
    </xf>
    <xf numFmtId="16" fontId="8" fillId="0" borderId="2" xfId="141" quotePrefix="1" applyNumberFormat="1" applyFont="1" applyBorder="1" applyAlignment="1">
      <alignment horizontal="center" wrapText="1"/>
    </xf>
    <xf numFmtId="16" fontId="8" fillId="0" borderId="2" xfId="141" applyNumberFormat="1" applyFont="1" applyBorder="1" applyAlignment="1">
      <alignment horizontal="center" wrapText="1"/>
    </xf>
    <xf numFmtId="16" fontId="8" fillId="0" borderId="2" xfId="14" applyNumberFormat="1" applyFont="1" applyBorder="1" applyAlignment="1">
      <alignment horizontal="center" wrapText="1"/>
    </xf>
    <xf numFmtId="167" fontId="8" fillId="0" borderId="0" xfId="141" applyNumberFormat="1" applyFont="1" applyBorder="1"/>
    <xf numFmtId="167" fontId="29" fillId="0" borderId="0" xfId="141" applyNumberFormat="1" applyFont="1" applyBorder="1"/>
    <xf numFmtId="167" fontId="8" fillId="0" borderId="0" xfId="14" applyNumberFormat="1" applyFont="1" applyBorder="1"/>
    <xf numFmtId="164" fontId="8" fillId="0" borderId="0" xfId="93" applyNumberFormat="1" applyFont="1" applyBorder="1"/>
    <xf numFmtId="164" fontId="8" fillId="0" borderId="0" xfId="93" applyNumberFormat="1" applyFont="1"/>
    <xf numFmtId="43" fontId="8" fillId="0" borderId="0" xfId="16" applyFont="1" applyBorder="1"/>
    <xf numFmtId="164" fontId="8" fillId="0" borderId="0" xfId="141" applyNumberFormat="1" applyFont="1"/>
    <xf numFmtId="164" fontId="71" fillId="0" borderId="0" xfId="93" applyNumberFormat="1" applyFont="1" applyBorder="1"/>
    <xf numFmtId="0" fontId="9" fillId="0" borderId="0" xfId="141" applyFont="1"/>
    <xf numFmtId="4" fontId="8" fillId="0" borderId="0" xfId="141" applyNumberFormat="1" applyFont="1"/>
    <xf numFmtId="0" fontId="11" fillId="0" borderId="17" xfId="43" applyFont="1" applyBorder="1"/>
    <xf numFmtId="0" fontId="71" fillId="0" borderId="17" xfId="43" applyFont="1" applyBorder="1" applyAlignment="1">
      <alignment horizontal="center"/>
    </xf>
    <xf numFmtId="0" fontId="8" fillId="0" borderId="17" xfId="43" applyFont="1" applyBorder="1" applyAlignment="1">
      <alignment horizontal="center"/>
    </xf>
    <xf numFmtId="0" fontId="8" fillId="0" borderId="17" xfId="43" applyFont="1" applyBorder="1"/>
    <xf numFmtId="0" fontId="8" fillId="0" borderId="0" xfId="43" applyFont="1" applyBorder="1"/>
    <xf numFmtId="0" fontId="11" fillId="0" borderId="0" xfId="43" applyFont="1"/>
    <xf numFmtId="0" fontId="8" fillId="0" borderId="0" xfId="96" applyAlignment="1">
      <alignment horizontal="center"/>
    </xf>
    <xf numFmtId="0" fontId="8" fillId="0" borderId="0" xfId="96"/>
    <xf numFmtId="0" fontId="29" fillId="0" borderId="0" xfId="43" applyFont="1" applyBorder="1"/>
    <xf numFmtId="0" fontId="18" fillId="0" borderId="0" xfId="143" applyFont="1" applyAlignment="1">
      <alignment horizontal="center"/>
    </xf>
    <xf numFmtId="0" fontId="18" fillId="0" borderId="0" xfId="143" applyFont="1" applyFill="1" applyAlignment="1">
      <alignment horizontal="center"/>
    </xf>
    <xf numFmtId="3" fontId="18" fillId="0" borderId="0" xfId="5" applyFont="1" applyFill="1" applyBorder="1"/>
    <xf numFmtId="5" fontId="18" fillId="0" borderId="0" xfId="143" applyNumberFormat="1" applyFont="1" applyAlignment="1">
      <alignment horizontal="center"/>
    </xf>
    <xf numFmtId="2" fontId="18" fillId="0" borderId="0" xfId="143" applyNumberFormat="1" applyFont="1" applyAlignment="1"/>
    <xf numFmtId="0" fontId="8" fillId="0" borderId="30" xfId="143" applyFont="1" applyBorder="1">
      <alignment vertical="top"/>
    </xf>
    <xf numFmtId="0" fontId="8" fillId="0" borderId="33" xfId="143" applyFont="1" applyBorder="1" applyAlignment="1">
      <alignment horizontal="center" vertical="top"/>
    </xf>
    <xf numFmtId="0" fontId="8" fillId="0" borderId="34" xfId="143" applyFont="1" applyBorder="1" applyAlignment="1">
      <alignment horizontal="center" vertical="top"/>
    </xf>
    <xf numFmtId="0" fontId="8" fillId="0" borderId="35" xfId="143" applyFont="1" applyBorder="1">
      <alignment vertical="top"/>
    </xf>
    <xf numFmtId="0" fontId="8" fillId="0" borderId="4" xfId="143" applyFont="1" applyBorder="1" applyAlignment="1">
      <alignment horizontal="center" vertical="top"/>
    </xf>
    <xf numFmtId="0" fontId="8" fillId="0" borderId="37" xfId="143" applyFont="1" applyBorder="1" applyAlignment="1">
      <alignment horizontal="center" vertical="top"/>
    </xf>
    <xf numFmtId="0" fontId="8" fillId="0" borderId="38" xfId="143" applyFont="1" applyBorder="1">
      <alignment vertical="top"/>
    </xf>
    <xf numFmtId="0" fontId="8" fillId="0" borderId="41" xfId="143" applyFont="1" applyBorder="1" applyAlignment="1">
      <alignment horizontal="center" vertical="top"/>
    </xf>
    <xf numFmtId="0" fontId="8" fillId="0" borderId="42" xfId="143" applyFont="1" applyBorder="1" applyAlignment="1">
      <alignment horizontal="center" vertical="top"/>
    </xf>
    <xf numFmtId="176" fontId="8" fillId="0" borderId="36" xfId="143" applyNumberFormat="1" applyFont="1" applyBorder="1" applyAlignment="1">
      <alignment horizontal="center" vertical="top"/>
    </xf>
    <xf numFmtId="0" fontId="8" fillId="0" borderId="0" xfId="143" applyFont="1" applyBorder="1" applyAlignment="1">
      <alignment horizontal="center" vertical="top"/>
    </xf>
    <xf numFmtId="0" fontId="8" fillId="0" borderId="7" xfId="143" applyFont="1" applyBorder="1" applyAlignment="1">
      <alignment horizontal="center" vertical="top"/>
    </xf>
    <xf numFmtId="3" fontId="8" fillId="0" borderId="4" xfId="5" applyFont="1" applyFill="1" applyBorder="1"/>
    <xf numFmtId="0" fontId="8" fillId="0" borderId="4" xfId="143" applyFont="1" applyBorder="1">
      <alignment vertical="top"/>
    </xf>
    <xf numFmtId="9" fontId="8" fillId="0" borderId="4" xfId="93" applyFont="1" applyBorder="1" applyAlignment="1">
      <alignment horizontal="center"/>
    </xf>
    <xf numFmtId="9" fontId="8" fillId="0" borderId="37" xfId="93" applyFont="1" applyBorder="1" applyAlignment="1">
      <alignment horizontal="center"/>
    </xf>
    <xf numFmtId="0" fontId="8" fillId="0" borderId="35" xfId="143" applyFont="1" applyBorder="1" applyAlignment="1"/>
    <xf numFmtId="176" fontId="8" fillId="0" borderId="36" xfId="143" applyNumberFormat="1" applyFont="1" applyBorder="1" applyAlignment="1">
      <alignment horizontal="center"/>
    </xf>
    <xf numFmtId="0" fontId="8" fillId="0" borderId="0" xfId="143" applyFont="1" applyBorder="1" applyAlignment="1">
      <alignment horizontal="center"/>
    </xf>
    <xf numFmtId="0" fontId="8" fillId="0" borderId="7" xfId="143" applyFont="1" applyBorder="1" applyAlignment="1">
      <alignment horizontal="center"/>
    </xf>
    <xf numFmtId="165" fontId="8" fillId="0" borderId="4" xfId="5" applyNumberFormat="1" applyFont="1" applyFill="1" applyBorder="1" applyAlignment="1">
      <alignment horizontal="center"/>
    </xf>
    <xf numFmtId="165" fontId="8" fillId="0" borderId="4" xfId="143" applyNumberFormat="1" applyFont="1" applyBorder="1" applyAlignment="1">
      <alignment horizontal="center"/>
    </xf>
    <xf numFmtId="177" fontId="8" fillId="0" borderId="4" xfId="93" applyNumberFormat="1" applyFont="1" applyBorder="1" applyAlignment="1">
      <alignment horizontal="center"/>
    </xf>
    <xf numFmtId="177" fontId="8" fillId="0" borderId="37" xfId="93" applyNumberFormat="1" applyFont="1" applyBorder="1" applyAlignment="1">
      <alignment horizontal="center"/>
    </xf>
    <xf numFmtId="178" fontId="8" fillId="0" borderId="4" xfId="5" applyNumberFormat="1" applyFont="1" applyFill="1" applyBorder="1" applyAlignment="1">
      <alignment horizontal="center"/>
    </xf>
    <xf numFmtId="178" fontId="8" fillId="0" borderId="4" xfId="143" applyNumberFormat="1" applyFont="1" applyBorder="1" applyAlignment="1">
      <alignment horizontal="center"/>
    </xf>
    <xf numFmtId="0" fontId="8" fillId="50" borderId="35" xfId="143" applyFont="1" applyFill="1" applyBorder="1" applyAlignment="1"/>
    <xf numFmtId="176" fontId="8" fillId="50" borderId="36" xfId="143" applyNumberFormat="1" applyFont="1" applyFill="1" applyBorder="1" applyAlignment="1">
      <alignment horizontal="center"/>
    </xf>
    <xf numFmtId="0" fontId="8" fillId="50" borderId="0" xfId="143" applyFont="1" applyFill="1" applyBorder="1" applyAlignment="1">
      <alignment horizontal="center"/>
    </xf>
    <xf numFmtId="0" fontId="8" fillId="50" borderId="7" xfId="143" applyFont="1" applyFill="1" applyBorder="1" applyAlignment="1">
      <alignment horizontal="center"/>
    </xf>
    <xf numFmtId="178" fontId="8" fillId="4" borderId="4" xfId="5" applyNumberFormat="1" applyFont="1" applyFill="1" applyBorder="1" applyAlignment="1">
      <alignment horizontal="center"/>
    </xf>
    <xf numFmtId="178" fontId="8" fillId="50" borderId="4" xfId="143" applyNumberFormat="1" applyFont="1" applyFill="1" applyBorder="1" applyAlignment="1">
      <alignment horizontal="center"/>
    </xf>
    <xf numFmtId="177" fontId="8" fillId="50" borderId="4" xfId="93" applyNumberFormat="1" applyFont="1" applyFill="1" applyBorder="1" applyAlignment="1">
      <alignment horizontal="center"/>
    </xf>
    <xf numFmtId="177" fontId="8" fillId="50" borderId="37" xfId="93" applyNumberFormat="1" applyFont="1" applyFill="1" applyBorder="1" applyAlignment="1">
      <alignment horizontal="center"/>
    </xf>
    <xf numFmtId="0" fontId="8" fillId="50" borderId="35" xfId="143" applyFont="1" applyFill="1" applyBorder="1" applyAlignment="1">
      <alignment horizontal="left" wrapText="1"/>
    </xf>
    <xf numFmtId="0" fontId="8" fillId="0" borderId="35" xfId="143" applyFont="1" applyBorder="1" applyAlignment="1">
      <alignment horizontal="center"/>
    </xf>
    <xf numFmtId="0" fontId="8" fillId="0" borderId="35" xfId="143" applyFont="1" applyFill="1" applyBorder="1" applyAlignment="1"/>
    <xf numFmtId="177" fontId="8" fillId="0" borderId="4" xfId="93" applyNumberFormat="1" applyFont="1" applyFill="1" applyBorder="1" applyAlignment="1">
      <alignment horizontal="center"/>
    </xf>
    <xf numFmtId="177" fontId="8" fillId="0" borderId="37" xfId="93" applyNumberFormat="1" applyFont="1" applyFill="1" applyBorder="1" applyAlignment="1">
      <alignment horizontal="center"/>
    </xf>
    <xf numFmtId="0" fontId="8" fillId="0" borderId="35" xfId="143" applyFont="1" applyFill="1" applyBorder="1" applyAlignment="1">
      <alignment horizontal="left" wrapText="1"/>
    </xf>
    <xf numFmtId="176" fontId="8" fillId="0" borderId="36" xfId="143" applyNumberFormat="1" applyFont="1" applyFill="1" applyBorder="1" applyAlignment="1">
      <alignment horizontal="center"/>
    </xf>
    <xf numFmtId="0" fontId="8" fillId="0" borderId="0" xfId="143" applyFont="1" applyFill="1" applyBorder="1" applyAlignment="1">
      <alignment horizontal="center"/>
    </xf>
    <xf numFmtId="0" fontId="8" fillId="0" borderId="7" xfId="143" applyFont="1" applyFill="1" applyBorder="1" applyAlignment="1">
      <alignment horizontal="center"/>
    </xf>
    <xf numFmtId="178" fontId="8" fillId="0" borderId="4" xfId="143" applyNumberFormat="1" applyFont="1" applyFill="1" applyBorder="1" applyAlignment="1">
      <alignment horizontal="center"/>
    </xf>
    <xf numFmtId="0" fontId="8" fillId="51" borderId="35" xfId="143" applyFont="1" applyFill="1" applyBorder="1" applyAlignment="1">
      <alignment horizontal="left" wrapText="1"/>
    </xf>
    <xf numFmtId="0" fontId="8" fillId="0" borderId="38" xfId="143" applyFont="1" applyBorder="1" applyAlignment="1">
      <alignment horizontal="center"/>
    </xf>
    <xf numFmtId="176" fontId="8" fillId="0" borderId="39" xfId="143" applyNumberFormat="1" applyFont="1" applyBorder="1" applyAlignment="1">
      <alignment horizontal="center"/>
    </xf>
    <xf numFmtId="0" fontId="8" fillId="0" borderId="17" xfId="143" applyFont="1" applyBorder="1" applyAlignment="1">
      <alignment horizontal="center"/>
    </xf>
    <xf numFmtId="0" fontId="8" fillId="0" borderId="40" xfId="143" applyFont="1" applyBorder="1" applyAlignment="1">
      <alignment horizontal="center"/>
    </xf>
    <xf numFmtId="3" fontId="8" fillId="0" borderId="41" xfId="5" applyFont="1" applyFill="1" applyBorder="1" applyAlignment="1">
      <alignment vertical="top"/>
    </xf>
    <xf numFmtId="0" fontId="8" fillId="0" borderId="41" xfId="143" applyFont="1" applyBorder="1" applyAlignment="1">
      <alignment horizontal="center"/>
    </xf>
    <xf numFmtId="5" fontId="8" fillId="0" borderId="41" xfId="143" applyNumberFormat="1" applyFont="1" applyBorder="1" applyAlignment="1">
      <alignment horizontal="center"/>
    </xf>
    <xf numFmtId="9" fontId="8" fillId="0" borderId="41" xfId="93" applyFont="1" applyBorder="1"/>
    <xf numFmtId="9" fontId="8" fillId="0" borderId="42" xfId="93" applyFont="1" applyBorder="1"/>
    <xf numFmtId="176" fontId="8" fillId="0" borderId="0" xfId="143" applyNumberFormat="1" applyFont="1" applyBorder="1" applyAlignment="1">
      <alignment horizontal="center"/>
    </xf>
    <xf numFmtId="3" fontId="8" fillId="0" borderId="0" xfId="5" applyFont="1" applyFill="1" applyBorder="1" applyAlignment="1">
      <alignment vertical="top"/>
    </xf>
    <xf numFmtId="5" fontId="8" fillId="0" borderId="0" xfId="143" applyNumberFormat="1" applyFont="1" applyBorder="1" applyAlignment="1">
      <alignment horizontal="center"/>
    </xf>
    <xf numFmtId="9" fontId="8" fillId="0" borderId="0" xfId="93" applyFont="1" applyBorder="1"/>
    <xf numFmtId="0" fontId="8" fillId="0" borderId="0" xfId="96" applyFont="1" applyAlignment="1">
      <alignment horizontal="center"/>
    </xf>
    <xf numFmtId="0" fontId="8" fillId="0" borderId="0" xfId="96" applyFont="1"/>
    <xf numFmtId="0" fontId="11" fillId="0" borderId="0" xfId="143" applyFont="1" applyAlignment="1">
      <alignment horizontal="left"/>
    </xf>
    <xf numFmtId="0" fontId="18" fillId="0" borderId="0" xfId="143" applyFont="1" applyAlignment="1">
      <alignment horizontal="center" vertical="top"/>
    </xf>
    <xf numFmtId="0" fontId="18" fillId="0" borderId="0" xfId="143" applyFont="1">
      <alignment vertical="top"/>
    </xf>
    <xf numFmtId="0" fontId="8" fillId="0" borderId="36" xfId="143" applyFont="1" applyBorder="1" applyAlignment="1">
      <alignment horizontal="center" vertical="top"/>
    </xf>
    <xf numFmtId="0" fontId="8" fillId="50" borderId="35" xfId="143" applyFont="1" applyFill="1" applyBorder="1">
      <alignment vertical="top"/>
    </xf>
    <xf numFmtId="0" fontId="8" fillId="0" borderId="39" xfId="143" applyFont="1" applyBorder="1" applyAlignment="1">
      <alignment horizontal="center"/>
    </xf>
    <xf numFmtId="178" fontId="8" fillId="0" borderId="41" xfId="5" applyNumberFormat="1" applyFont="1" applyFill="1" applyBorder="1" applyAlignment="1">
      <alignment horizontal="center"/>
    </xf>
    <xf numFmtId="178" fontId="8" fillId="0" borderId="41" xfId="143" applyNumberFormat="1" applyFont="1" applyBorder="1" applyAlignment="1">
      <alignment horizontal="center"/>
    </xf>
    <xf numFmtId="177" fontId="8" fillId="0" borderId="41" xfId="93" applyNumberFormat="1" applyFont="1" applyBorder="1" applyAlignment="1">
      <alignment horizontal="center"/>
    </xf>
    <xf numFmtId="177" fontId="8" fillId="0" borderId="42" xfId="93" applyNumberFormat="1" applyFont="1" applyBorder="1" applyAlignment="1">
      <alignment horizontal="center"/>
    </xf>
    <xf numFmtId="0" fontId="8" fillId="0" borderId="0" xfId="143" applyFont="1" applyBorder="1">
      <alignment vertical="top"/>
    </xf>
    <xf numFmtId="0" fontId="18" fillId="0" borderId="0" xfId="143" applyFont="1" applyFill="1" applyAlignment="1">
      <alignment horizontal="center" vertical="top"/>
    </xf>
    <xf numFmtId="3" fontId="18" fillId="0" borderId="0" xfId="5" applyFont="1" applyFill="1"/>
    <xf numFmtId="0" fontId="18" fillId="0" borderId="0" xfId="143" applyFont="1" applyFill="1">
      <alignment vertical="top"/>
    </xf>
    <xf numFmtId="0" fontId="18" fillId="0" borderId="0" xfId="143" applyFont="1" applyFill="1" applyBorder="1" applyAlignment="1">
      <alignment horizontal="center" vertical="top"/>
    </xf>
    <xf numFmtId="0" fontId="8" fillId="0" borderId="0" xfId="143" applyFont="1">
      <alignment vertical="top"/>
    </xf>
    <xf numFmtId="0" fontId="8" fillId="0" borderId="0" xfId="141" applyFont="1" applyAlignment="1">
      <alignment horizontal="center"/>
    </xf>
    <xf numFmtId="0" fontId="29" fillId="0" borderId="0" xfId="43" applyFont="1" applyFill="1" applyBorder="1"/>
    <xf numFmtId="177" fontId="82" fillId="0" borderId="4" xfId="93" applyNumberFormat="1" applyFont="1" applyBorder="1" applyAlignment="1">
      <alignment horizontal="center"/>
    </xf>
    <xf numFmtId="177" fontId="82" fillId="0" borderId="37" xfId="93" applyNumberFormat="1" applyFont="1" applyBorder="1" applyAlignment="1">
      <alignment horizontal="center"/>
    </xf>
    <xf numFmtId="0" fontId="8" fillId="0" borderId="38" xfId="143" applyFont="1" applyBorder="1" applyAlignment="1"/>
    <xf numFmtId="3" fontId="8" fillId="0" borderId="41" xfId="5" applyFont="1" applyFill="1" applyBorder="1" applyAlignment="1"/>
    <xf numFmtId="0" fontId="8" fillId="0" borderId="41" xfId="143" applyFont="1" applyBorder="1" applyAlignment="1"/>
    <xf numFmtId="9" fontId="8" fillId="0" borderId="41" xfId="93" applyFont="1" applyBorder="1" applyAlignment="1"/>
    <xf numFmtId="9" fontId="8" fillId="0" borderId="42" xfId="93" applyFont="1" applyBorder="1" applyAlignment="1"/>
    <xf numFmtId="0" fontId="8" fillId="0" borderId="0" xfId="143" applyFont="1" applyBorder="1" applyAlignment="1"/>
    <xf numFmtId="3" fontId="8" fillId="0" borderId="0" xfId="5" applyFont="1" applyFill="1" applyBorder="1" applyAlignment="1"/>
    <xf numFmtId="9" fontId="8" fillId="0" borderId="0" xfId="93" applyFont="1" applyBorder="1" applyAlignment="1"/>
    <xf numFmtId="0" fontId="18" fillId="0" borderId="17" xfId="143" applyFont="1" applyBorder="1" applyAlignment="1">
      <alignment horizontal="center"/>
    </xf>
    <xf numFmtId="0" fontId="18" fillId="0" borderId="17" xfId="143" applyFont="1" applyFill="1" applyBorder="1" applyAlignment="1">
      <alignment horizontal="center"/>
    </xf>
    <xf numFmtId="3" fontId="18" fillId="0" borderId="17" xfId="5" applyFont="1" applyFill="1" applyBorder="1" applyAlignment="1"/>
    <xf numFmtId="0" fontId="18" fillId="0" borderId="17" xfId="143" applyFont="1" applyBorder="1" applyAlignment="1"/>
    <xf numFmtId="0" fontId="83" fillId="0" borderId="17" xfId="143" applyFont="1" applyBorder="1" applyAlignment="1"/>
    <xf numFmtId="0" fontId="18" fillId="0" borderId="0" xfId="143" applyFont="1" applyBorder="1" applyAlignment="1">
      <alignment horizontal="center"/>
    </xf>
    <xf numFmtId="0" fontId="18" fillId="0" borderId="0" xfId="143" applyFont="1" applyFill="1" applyBorder="1" applyAlignment="1">
      <alignment horizontal="center"/>
    </xf>
    <xf numFmtId="3" fontId="18" fillId="0" borderId="0" xfId="5" applyFont="1" applyFill="1" applyBorder="1" applyAlignment="1"/>
    <xf numFmtId="0" fontId="18" fillId="0" borderId="0" xfId="143" applyFont="1" applyBorder="1" applyAlignment="1"/>
    <xf numFmtId="0" fontId="83" fillId="0" borderId="0" xfId="143" applyFont="1" applyBorder="1" applyAlignment="1"/>
    <xf numFmtId="0" fontId="18" fillId="0" borderId="0" xfId="143" applyFont="1" applyAlignment="1">
      <alignment horizontal="left"/>
    </xf>
    <xf numFmtId="0" fontId="18" fillId="0" borderId="0" xfId="143" applyFont="1" applyAlignment="1"/>
    <xf numFmtId="0" fontId="83" fillId="0" borderId="0" xfId="143" applyFont="1" applyAlignment="1"/>
    <xf numFmtId="0" fontId="84" fillId="0" borderId="0" xfId="143" applyFont="1" applyAlignment="1">
      <alignment horizontal="left"/>
    </xf>
    <xf numFmtId="0" fontId="8" fillId="0" borderId="0" xfId="45"/>
    <xf numFmtId="3" fontId="8" fillId="47" borderId="0" xfId="94" applyNumberFormat="1" applyFont="1" applyFill="1"/>
    <xf numFmtId="0" fontId="58" fillId="0" borderId="0" xfId="94" applyNumberFormat="1" applyFont="1" applyFill="1" applyAlignment="1" applyProtection="1">
      <alignment horizontal="right"/>
    </xf>
    <xf numFmtId="3" fontId="8" fillId="45" borderId="0" xfId="94" applyNumberFormat="1" applyFont="1" applyFill="1"/>
    <xf numFmtId="3" fontId="8" fillId="0" borderId="0" xfId="94" applyNumberFormat="1" applyFont="1"/>
    <xf numFmtId="3" fontId="8" fillId="46" borderId="0" xfId="94" applyNumberFormat="1" applyFont="1" applyFill="1"/>
    <xf numFmtId="164" fontId="69" fillId="21" borderId="2" xfId="0" applyNumberFormat="1" applyFont="1" applyFill="1" applyBorder="1" applyAlignment="1" applyProtection="1">
      <alignment horizontal="center" wrapText="1"/>
    </xf>
    <xf numFmtId="0" fontId="30" fillId="0" borderId="0" xfId="0" applyFont="1" applyProtection="1"/>
    <xf numFmtId="0" fontId="69" fillId="21" borderId="10" xfId="0" applyFont="1" applyFill="1" applyBorder="1" applyAlignment="1" applyProtection="1">
      <alignment horizontal="left"/>
    </xf>
    <xf numFmtId="0" fontId="69" fillId="21" borderId="27" xfId="0" applyFont="1" applyFill="1" applyBorder="1" applyAlignment="1" applyProtection="1">
      <alignment horizontal="left"/>
    </xf>
    <xf numFmtId="0" fontId="69" fillId="21" borderId="28" xfId="0" applyFont="1" applyFill="1" applyBorder="1" applyAlignment="1" applyProtection="1">
      <alignment horizontal="left"/>
    </xf>
    <xf numFmtId="0" fontId="70" fillId="0" borderId="0" xfId="0" applyFont="1" applyBorder="1" applyAlignment="1" applyProtection="1">
      <alignment wrapText="1"/>
    </xf>
    <xf numFmtId="0" fontId="70" fillId="0" borderId="0" xfId="0" applyFont="1" applyBorder="1" applyProtection="1"/>
    <xf numFmtId="166" fontId="8" fillId="48" borderId="0" xfId="144" applyNumberFormat="1" applyFont="1" applyFill="1" applyBorder="1" applyAlignment="1" applyProtection="1">
      <alignment horizontal="center"/>
    </xf>
    <xf numFmtId="166" fontId="8" fillId="0" borderId="0" xfId="144" applyNumberFormat="1" applyFont="1" applyFill="1" applyBorder="1" applyAlignment="1" applyProtection="1">
      <alignment horizontal="center"/>
    </xf>
    <xf numFmtId="172" fontId="8" fillId="0" borderId="0" xfId="144" applyNumberFormat="1" applyFont="1" applyFill="1" applyBorder="1" applyAlignment="1" applyProtection="1">
      <alignment horizontal="center"/>
    </xf>
    <xf numFmtId="165" fontId="69" fillId="21" borderId="6" xfId="0" applyNumberFormat="1" applyFont="1" applyFill="1" applyBorder="1" applyAlignment="1" applyProtection="1">
      <alignment horizontal="center" wrapText="1"/>
    </xf>
    <xf numFmtId="0" fontId="68" fillId="0" borderId="7" xfId="0" applyFont="1" applyBorder="1" applyAlignment="1" applyProtection="1">
      <alignment horizontal="left"/>
    </xf>
    <xf numFmtId="0" fontId="68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165" fontId="29" fillId="0" borderId="0" xfId="0" applyNumberFormat="1" applyFont="1" applyFill="1" applyBorder="1" applyAlignment="1" applyProtection="1">
      <alignment horizontal="center"/>
      <protection locked="0"/>
    </xf>
    <xf numFmtId="10" fontId="69" fillId="0" borderId="0" xfId="50" applyNumberFormat="1" applyFont="1" applyFill="1" applyBorder="1" applyAlignment="1" applyProtection="1">
      <alignment horizontal="center"/>
    </xf>
    <xf numFmtId="165" fontId="68" fillId="0" borderId="0" xfId="0" applyNumberFormat="1" applyFont="1" applyFill="1" applyBorder="1" applyAlignment="1" applyProtection="1">
      <alignment horizontal="center" wrapText="1"/>
    </xf>
    <xf numFmtId="0" fontId="18" fillId="4" borderId="0" xfId="0" applyFont="1" applyFill="1" applyBorder="1"/>
    <xf numFmtId="165" fontId="18" fillId="4" borderId="0" xfId="0" applyNumberFormat="1" applyFont="1" applyFill="1" applyBorder="1"/>
    <xf numFmtId="0" fontId="18" fillId="4" borderId="9" xfId="0" applyFont="1" applyFill="1" applyBorder="1"/>
    <xf numFmtId="165" fontId="18" fillId="4" borderId="9" xfId="0" applyNumberFormat="1" applyFont="1" applyFill="1" applyBorder="1"/>
    <xf numFmtId="9" fontId="69" fillId="21" borderId="2" xfId="50" applyFont="1" applyFill="1" applyBorder="1" applyAlignment="1" applyProtection="1">
      <alignment horizontal="center" wrapText="1"/>
    </xf>
    <xf numFmtId="0" fontId="68" fillId="0" borderId="0" xfId="0" applyFont="1" applyFill="1" applyBorder="1" applyAlignment="1" applyProtection="1"/>
    <xf numFmtId="0" fontId="2" fillId="0" borderId="0" xfId="0" applyFont="1" applyFill="1" applyProtection="1"/>
    <xf numFmtId="165" fontId="69" fillId="21" borderId="2" xfId="0" applyNumberFormat="1" applyFont="1" applyFill="1" applyBorder="1" applyAlignment="1" applyProtection="1">
      <alignment horizontal="center" vertical="center" wrapText="1"/>
    </xf>
    <xf numFmtId="10" fontId="8" fillId="0" borderId="0" xfId="10" applyNumberFormat="1" applyFont="1" applyFill="1" applyBorder="1" applyAlignment="1"/>
    <xf numFmtId="170" fontId="12" fillId="43" borderId="0" xfId="138" applyNumberFormat="1" applyFont="1" applyFill="1" applyBorder="1" applyAlignment="1"/>
    <xf numFmtId="0" fontId="69" fillId="0" borderId="0" xfId="0" applyFont="1" applyFill="1" applyBorder="1" applyAlignment="1" applyProtection="1">
      <alignment horizontal="left" vertical="top" wrapText="1"/>
    </xf>
    <xf numFmtId="0" fontId="85" fillId="0" borderId="0" xfId="43" applyFont="1"/>
    <xf numFmtId="171" fontId="8" fillId="48" borderId="11" xfId="0" applyNumberFormat="1" applyFont="1" applyFill="1" applyBorder="1" applyProtection="1">
      <protection locked="0"/>
    </xf>
    <xf numFmtId="171" fontId="8" fillId="48" borderId="29" xfId="0" applyNumberFormat="1" applyFont="1" applyFill="1" applyBorder="1" applyProtection="1">
      <protection locked="0"/>
    </xf>
    <xf numFmtId="171" fontId="8" fillId="48" borderId="13" xfId="0" applyNumberFormat="1" applyFont="1" applyFill="1" applyBorder="1" applyProtection="1">
      <protection locked="0"/>
    </xf>
    <xf numFmtId="165" fontId="68" fillId="0" borderId="0" xfId="0" applyNumberFormat="1" applyFont="1" applyFill="1" applyBorder="1" applyAlignment="1" applyProtection="1">
      <alignment wrapText="1"/>
    </xf>
    <xf numFmtId="165" fontId="29" fillId="0" borderId="0" xfId="0" applyNumberFormat="1" applyFont="1" applyFill="1" applyBorder="1" applyAlignment="1" applyProtection="1">
      <protection locked="0"/>
    </xf>
    <xf numFmtId="165" fontId="8" fillId="48" borderId="0" xfId="0" applyNumberFormat="1" applyFont="1" applyFill="1" applyBorder="1" applyAlignment="1" applyProtection="1">
      <alignment horizontal="center"/>
      <protection locked="0"/>
    </xf>
    <xf numFmtId="0" fontId="86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170" fontId="2" fillId="0" borderId="0" xfId="138" applyNumberFormat="1" applyFont="1"/>
    <xf numFmtId="3" fontId="8" fillId="0" borderId="0" xfId="9" applyNumberFormat="1" applyFont="1" applyFill="1"/>
    <xf numFmtId="0" fontId="1" fillId="0" borderId="11" xfId="0" applyFont="1" applyBorder="1"/>
    <xf numFmtId="0" fontId="2" fillId="0" borderId="12" xfId="0" applyFont="1" applyBorder="1"/>
    <xf numFmtId="0" fontId="2" fillId="0" borderId="6" xfId="0" applyFont="1" applyBorder="1"/>
    <xf numFmtId="0" fontId="2" fillId="0" borderId="29" xfId="0" applyFont="1" applyBorder="1"/>
    <xf numFmtId="0" fontId="2" fillId="0" borderId="0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170" fontId="2" fillId="48" borderId="0" xfId="138" applyNumberFormat="1" applyFont="1" applyFill="1" applyBorder="1"/>
    <xf numFmtId="170" fontId="2" fillId="0" borderId="0" xfId="138" applyNumberFormat="1" applyFont="1" applyBorder="1"/>
    <xf numFmtId="43" fontId="2" fillId="0" borderId="0" xfId="138" applyNumberFormat="1" applyFont="1" applyBorder="1"/>
    <xf numFmtId="170" fontId="2" fillId="0" borderId="7" xfId="138" applyNumberFormat="1" applyFont="1" applyBorder="1"/>
    <xf numFmtId="0" fontId="2" fillId="0" borderId="29" xfId="0" applyFont="1" applyBorder="1" applyAlignment="1">
      <alignment horizontal="right"/>
    </xf>
    <xf numFmtId="170" fontId="2" fillId="0" borderId="29" xfId="138" applyNumberFormat="1" applyFont="1" applyBorder="1"/>
    <xf numFmtId="0" fontId="2" fillId="0" borderId="13" xfId="0" applyFont="1" applyBorder="1"/>
    <xf numFmtId="0" fontId="2" fillId="0" borderId="9" xfId="0" applyFont="1" applyBorder="1"/>
    <xf numFmtId="0" fontId="2" fillId="0" borderId="8" xfId="0" applyFont="1" applyBorder="1"/>
    <xf numFmtId="0" fontId="2" fillId="0" borderId="29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9" xfId="0" applyFont="1" applyBorder="1" applyAlignment="1">
      <alignment horizontal="left" indent="1"/>
    </xf>
    <xf numFmtId="9" fontId="2" fillId="0" borderId="0" xfId="50" applyFont="1" applyBorder="1"/>
    <xf numFmtId="0" fontId="2" fillId="0" borderId="7" xfId="0" applyFont="1" applyBorder="1"/>
    <xf numFmtId="0" fontId="2" fillId="0" borderId="0" xfId="0" applyFont="1" applyBorder="1" applyAlignment="1">
      <alignment horizontal="center"/>
    </xf>
    <xf numFmtId="0" fontId="2" fillId="0" borderId="29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9" fontId="2" fillId="0" borderId="0" xfId="0" applyNumberFormat="1" applyFont="1" applyBorder="1"/>
    <xf numFmtId="0" fontId="2" fillId="0" borderId="29" xfId="0" applyFont="1" applyBorder="1" applyAlignment="1">
      <alignment wrapText="1"/>
    </xf>
    <xf numFmtId="164" fontId="2" fillId="0" borderId="0" xfId="50" applyNumberFormat="1" applyFont="1" applyBorder="1"/>
    <xf numFmtId="164" fontId="2" fillId="48" borderId="7" xfId="50" applyNumberFormat="1" applyFont="1" applyFill="1" applyBorder="1"/>
    <xf numFmtId="0" fontId="1" fillId="0" borderId="29" xfId="0" applyFont="1" applyBorder="1"/>
    <xf numFmtId="0" fontId="2" fillId="0" borderId="0" xfId="0" applyFont="1" applyAlignment="1">
      <alignment horizontal="right"/>
    </xf>
    <xf numFmtId="164" fontId="18" fillId="48" borderId="0" xfId="50" applyNumberFormat="1" applyFont="1" applyFill="1" applyBorder="1"/>
    <xf numFmtId="170" fontId="18" fillId="48" borderId="0" xfId="138" applyNumberFormat="1" applyFont="1" applyFill="1" applyBorder="1"/>
    <xf numFmtId="164" fontId="18" fillId="48" borderId="7" xfId="50" applyNumberFormat="1" applyFont="1" applyFill="1" applyBorder="1"/>
    <xf numFmtId="0" fontId="8" fillId="3" borderId="0" xfId="146" applyFont="1" applyFill="1" applyAlignment="1">
      <alignment vertical="top" wrapText="1"/>
    </xf>
    <xf numFmtId="0" fontId="85" fillId="0" borderId="0" xfId="43" applyFont="1" applyAlignment="1">
      <alignment wrapText="1"/>
    </xf>
    <xf numFmtId="10" fontId="68" fillId="0" borderId="3" xfId="0" applyNumberFormat="1" applyFont="1" applyBorder="1" applyAlignment="1" applyProtection="1">
      <alignment horizontal="center"/>
    </xf>
    <xf numFmtId="165" fontId="8" fillId="48" borderId="2" xfId="139" quotePrefix="1" applyNumberFormat="1" applyFont="1" applyFill="1" applyBorder="1" applyAlignment="1" applyProtection="1">
      <alignment horizontal="center"/>
      <protection locked="0"/>
    </xf>
    <xf numFmtId="10" fontId="68" fillId="0" borderId="4" xfId="0" applyNumberFormat="1" applyFont="1" applyBorder="1" applyAlignment="1" applyProtection="1">
      <alignment horizontal="center"/>
    </xf>
    <xf numFmtId="10" fontId="68" fillId="0" borderId="5" xfId="0" applyNumberFormat="1" applyFont="1" applyBorder="1" applyAlignment="1" applyProtection="1">
      <alignment horizontal="center"/>
    </xf>
    <xf numFmtId="9" fontId="68" fillId="0" borderId="3" xfId="50" applyFont="1" applyBorder="1" applyAlignment="1" applyProtection="1">
      <alignment horizontal="center"/>
    </xf>
    <xf numFmtId="9" fontId="68" fillId="0" borderId="4" xfId="50" applyFont="1" applyBorder="1" applyAlignment="1" applyProtection="1">
      <alignment horizontal="center"/>
    </xf>
    <xf numFmtId="9" fontId="68" fillId="0" borderId="5" xfId="50" applyFont="1" applyBorder="1" applyAlignment="1" applyProtection="1">
      <alignment horizontal="center"/>
    </xf>
    <xf numFmtId="165" fontId="68" fillId="0" borderId="3" xfId="0" applyNumberFormat="1" applyFont="1" applyFill="1" applyBorder="1" applyAlignment="1" applyProtection="1">
      <alignment horizontal="center"/>
    </xf>
    <xf numFmtId="165" fontId="68" fillId="0" borderId="4" xfId="0" applyNumberFormat="1" applyFont="1" applyFill="1" applyBorder="1" applyAlignment="1" applyProtection="1">
      <alignment horizontal="center"/>
    </xf>
    <xf numFmtId="165" fontId="68" fillId="0" borderId="5" xfId="0" applyNumberFormat="1" applyFont="1" applyFill="1" applyBorder="1" applyAlignment="1" applyProtection="1">
      <alignment horizontal="center"/>
    </xf>
    <xf numFmtId="171" fontId="8" fillId="0" borderId="12" xfId="0" applyNumberFormat="1" applyFont="1" applyFill="1" applyBorder="1" applyAlignment="1" applyProtection="1">
      <alignment horizontal="center"/>
      <protection locked="0"/>
    </xf>
    <xf numFmtId="171" fontId="8" fillId="0" borderId="0" xfId="0" applyNumberFormat="1" applyFont="1" applyFill="1" applyBorder="1" applyAlignment="1" applyProtection="1">
      <alignment horizontal="center"/>
      <protection locked="0"/>
    </xf>
    <xf numFmtId="171" fontId="8" fillId="0" borderId="9" xfId="0" applyNumberFormat="1" applyFont="1" applyFill="1" applyBorder="1" applyAlignment="1" applyProtection="1">
      <alignment horizontal="center"/>
      <protection locked="0"/>
    </xf>
    <xf numFmtId="165" fontId="8" fillId="0" borderId="2" xfId="139" quotePrefix="1" applyNumberFormat="1" applyFont="1" applyFill="1" applyBorder="1" applyAlignment="1" applyProtection="1">
      <alignment horizontal="center"/>
      <protection locked="0"/>
    </xf>
    <xf numFmtId="0" fontId="8" fillId="0" borderId="0" xfId="43" applyFont="1" applyAlignment="1">
      <alignment horizontal="left" vertical="top" wrapText="1"/>
    </xf>
    <xf numFmtId="0" fontId="69" fillId="0" borderId="2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 textRotation="90"/>
    </xf>
    <xf numFmtId="0" fontId="68" fillId="0" borderId="0" xfId="0" applyFont="1" applyFill="1" applyBorder="1" applyAlignment="1" applyProtection="1">
      <alignment horizontal="left" vertical="top" wrapText="1"/>
    </xf>
    <xf numFmtId="0" fontId="2" fillId="0" borderId="0" xfId="0" applyFont="1" applyBorder="1" applyProtection="1"/>
    <xf numFmtId="165" fontId="8" fillId="0" borderId="3" xfId="139" quotePrefix="1" applyNumberFormat="1" applyFont="1" applyFill="1" applyBorder="1" applyAlignment="1" applyProtection="1">
      <alignment horizontal="center"/>
      <protection locked="0"/>
    </xf>
    <xf numFmtId="10" fontId="68" fillId="0" borderId="28" xfId="0" applyNumberFormat="1" applyFont="1" applyFill="1" applyBorder="1" applyAlignment="1" applyProtection="1">
      <alignment horizontal="center"/>
    </xf>
    <xf numFmtId="10" fontId="8" fillId="0" borderId="3" xfId="50" quotePrefix="1" applyNumberFormat="1" applyFont="1" applyFill="1" applyBorder="1" applyAlignment="1" applyProtection="1">
      <alignment horizontal="center"/>
      <protection locked="0"/>
    </xf>
    <xf numFmtId="10" fontId="68" fillId="0" borderId="2" xfId="0" applyNumberFormat="1" applyFont="1" applyFill="1" applyBorder="1" applyAlignment="1" applyProtection="1">
      <alignment horizontal="center"/>
    </xf>
    <xf numFmtId="10" fontId="8" fillId="0" borderId="2" xfId="50" quotePrefix="1" applyNumberFormat="1" applyFont="1" applyFill="1" applyBorder="1" applyAlignment="1" applyProtection="1">
      <alignment horizontal="center"/>
      <protection locked="0"/>
    </xf>
    <xf numFmtId="0" fontId="69" fillId="21" borderId="10" xfId="0" applyFont="1" applyFill="1" applyBorder="1" applyAlignment="1" applyProtection="1">
      <alignment horizontal="left"/>
    </xf>
    <xf numFmtId="0" fontId="69" fillId="21" borderId="27" xfId="0" applyFont="1" applyFill="1" applyBorder="1" applyAlignment="1" applyProtection="1">
      <alignment horizontal="left"/>
    </xf>
    <xf numFmtId="0" fontId="69" fillId="21" borderId="28" xfId="0" applyFont="1" applyFill="1" applyBorder="1" applyAlignment="1" applyProtection="1">
      <alignment horizontal="left"/>
    </xf>
    <xf numFmtId="0" fontId="8" fillId="0" borderId="0" xfId="43" applyFont="1" applyAlignment="1">
      <alignment horizontal="center" vertical="top"/>
    </xf>
    <xf numFmtId="0" fontId="8" fillId="0" borderId="0" xfId="43" applyFont="1" applyAlignment="1">
      <alignment horizontal="center"/>
    </xf>
    <xf numFmtId="0" fontId="27" fillId="3" borderId="1" xfId="145" applyNumberFormat="1" applyFont="1" applyFill="1" applyBorder="1" applyAlignment="1">
      <alignment horizontal="left"/>
    </xf>
    <xf numFmtId="0" fontId="11" fillId="3" borderId="0" xfId="145" applyNumberFormat="1" applyFont="1" applyFill="1" applyBorder="1" applyAlignment="1">
      <alignment horizontal="left"/>
    </xf>
    <xf numFmtId="0" fontId="8" fillId="0" borderId="0" xfId="43" applyFont="1" applyAlignment="1">
      <alignment horizontal="left" vertical="top" wrapText="1"/>
    </xf>
    <xf numFmtId="0" fontId="8" fillId="3" borderId="0" xfId="146" applyFont="1" applyFill="1" applyAlignment="1">
      <alignment horizontal="left" vertical="top" wrapText="1"/>
    </xf>
    <xf numFmtId="0" fontId="8" fillId="3" borderId="0" xfId="145" applyNumberFormat="1" applyFont="1" applyFill="1" applyBorder="1" applyAlignment="1">
      <alignment horizontal="left" vertical="top" wrapText="1"/>
    </xf>
    <xf numFmtId="0" fontId="68" fillId="0" borderId="0" xfId="0" applyFont="1" applyFill="1" applyBorder="1" applyAlignment="1" applyProtection="1">
      <alignment horizontal="center"/>
    </xf>
    <xf numFmtId="0" fontId="68" fillId="48" borderId="0" xfId="0" applyFont="1" applyFill="1" applyAlignment="1" applyProtection="1">
      <alignment horizontal="center"/>
    </xf>
    <xf numFmtId="0" fontId="69" fillId="21" borderId="10" xfId="0" applyFont="1" applyFill="1" applyBorder="1" applyAlignment="1" applyProtection="1">
      <alignment horizontal="left"/>
    </xf>
    <xf numFmtId="0" fontId="69" fillId="21" borderId="27" xfId="0" applyFont="1" applyFill="1" applyBorder="1" applyAlignment="1" applyProtection="1">
      <alignment horizontal="left"/>
    </xf>
    <xf numFmtId="0" fontId="69" fillId="21" borderId="28" xfId="0" applyFont="1" applyFill="1" applyBorder="1" applyAlignment="1" applyProtection="1">
      <alignment horizontal="left"/>
    </xf>
    <xf numFmtId="0" fontId="69" fillId="0" borderId="10" xfId="0" applyFont="1" applyFill="1" applyBorder="1" applyAlignment="1" applyProtection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69" fillId="0" borderId="3" xfId="0" applyFont="1" applyFill="1" applyBorder="1" applyAlignment="1" applyProtection="1">
      <alignment horizontal="center" vertical="center" wrapText="1"/>
    </xf>
    <xf numFmtId="0" fontId="69" fillId="0" borderId="5" xfId="0" applyFont="1" applyFill="1" applyBorder="1" applyAlignment="1" applyProtection="1">
      <alignment horizontal="center" vertical="center" wrapText="1"/>
    </xf>
    <xf numFmtId="0" fontId="1" fillId="48" borderId="2" xfId="0" applyFont="1" applyFill="1" applyBorder="1" applyAlignment="1" applyProtection="1">
      <alignment horizontal="left" vertical="center"/>
    </xf>
    <xf numFmtId="0" fontId="14" fillId="0" borderId="0" xfId="0" applyFont="1" applyBorder="1" applyProtection="1"/>
    <xf numFmtId="0" fontId="14" fillId="0" borderId="9" xfId="0" applyFont="1" applyBorder="1" applyProtection="1"/>
    <xf numFmtId="0" fontId="69" fillId="0" borderId="11" xfId="0" applyFont="1" applyFill="1" applyBorder="1" applyAlignment="1" applyProtection="1">
      <alignment horizontal="center" vertical="center"/>
    </xf>
    <xf numFmtId="0" fontId="69" fillId="0" borderId="12" xfId="0" applyFont="1" applyFill="1" applyBorder="1" applyAlignment="1" applyProtection="1">
      <alignment horizontal="center" vertical="center"/>
    </xf>
    <xf numFmtId="0" fontId="69" fillId="0" borderId="6" xfId="0" applyFont="1" applyFill="1" applyBorder="1" applyAlignment="1" applyProtection="1">
      <alignment horizontal="center" vertical="center"/>
    </xf>
    <xf numFmtId="0" fontId="69" fillId="0" borderId="13" xfId="0" applyFont="1" applyFill="1" applyBorder="1" applyAlignment="1" applyProtection="1">
      <alignment horizontal="center" vertical="center"/>
    </xf>
    <xf numFmtId="0" fontId="69" fillId="0" borderId="9" xfId="0" applyFont="1" applyFill="1" applyBorder="1" applyAlignment="1" applyProtection="1">
      <alignment horizontal="center" vertical="center"/>
    </xf>
    <xf numFmtId="0" fontId="69" fillId="0" borderId="8" xfId="0" applyFont="1" applyFill="1" applyBorder="1" applyAlignment="1" applyProtection="1">
      <alignment horizontal="center" vertical="center"/>
    </xf>
    <xf numFmtId="0" fontId="14" fillId="21" borderId="10" xfId="0" applyFont="1" applyFill="1" applyBorder="1" applyAlignment="1" applyProtection="1">
      <alignment horizontal="left" vertical="center" readingOrder="1"/>
    </xf>
    <xf numFmtId="0" fontId="14" fillId="21" borderId="27" xfId="0" applyFont="1" applyFill="1" applyBorder="1" applyAlignment="1" applyProtection="1">
      <alignment horizontal="left" vertical="center" readingOrder="1"/>
    </xf>
    <xf numFmtId="0" fontId="14" fillId="21" borderId="28" xfId="0" applyFont="1" applyFill="1" applyBorder="1" applyAlignment="1" applyProtection="1">
      <alignment horizontal="left" vertical="center" readingOrder="1"/>
    </xf>
    <xf numFmtId="0" fontId="1" fillId="48" borderId="10" xfId="0" applyFont="1" applyFill="1" applyBorder="1" applyAlignment="1" applyProtection="1">
      <alignment horizontal="left" vertical="center"/>
    </xf>
    <xf numFmtId="0" fontId="1" fillId="48" borderId="27" xfId="0" applyFont="1" applyFill="1" applyBorder="1" applyAlignment="1" applyProtection="1">
      <alignment horizontal="left" vertical="center"/>
    </xf>
    <xf numFmtId="0" fontId="1" fillId="48" borderId="28" xfId="0" applyFont="1" applyFill="1" applyBorder="1" applyAlignment="1" applyProtection="1">
      <alignment horizontal="left" vertical="center"/>
    </xf>
    <xf numFmtId="0" fontId="70" fillId="0" borderId="0" xfId="0" applyFont="1" applyBorder="1" applyAlignment="1" applyProtection="1">
      <alignment horizontal="left" wrapText="1"/>
    </xf>
    <xf numFmtId="0" fontId="69" fillId="0" borderId="11" xfId="0" quotePrefix="1" applyFont="1" applyFill="1" applyBorder="1" applyAlignment="1" applyProtection="1">
      <alignment horizontal="left"/>
    </xf>
    <xf numFmtId="0" fontId="69" fillId="0" borderId="12" xfId="0" quotePrefix="1" applyFont="1" applyFill="1" applyBorder="1" applyAlignment="1" applyProtection="1">
      <alignment horizontal="left"/>
    </xf>
    <xf numFmtId="0" fontId="69" fillId="0" borderId="6" xfId="0" quotePrefix="1" applyFont="1" applyFill="1" applyBorder="1" applyAlignment="1" applyProtection="1">
      <alignment horizontal="left"/>
    </xf>
    <xf numFmtId="0" fontId="1" fillId="48" borderId="10" xfId="0" applyFont="1" applyFill="1" applyBorder="1" applyAlignment="1" applyProtection="1">
      <alignment horizontal="left" vertical="top"/>
    </xf>
    <xf numFmtId="0" fontId="1" fillId="48" borderId="27" xfId="0" applyFont="1" applyFill="1" applyBorder="1" applyAlignment="1" applyProtection="1">
      <alignment horizontal="left" vertical="top"/>
    </xf>
    <xf numFmtId="0" fontId="1" fillId="48" borderId="28" xfId="0" applyFont="1" applyFill="1" applyBorder="1" applyAlignment="1" applyProtection="1">
      <alignment horizontal="left" vertical="top"/>
    </xf>
    <xf numFmtId="0" fontId="14" fillId="21" borderId="10" xfId="0" applyFont="1" applyFill="1" applyBorder="1" applyAlignment="1" applyProtection="1">
      <alignment horizontal="left"/>
    </xf>
    <xf numFmtId="0" fontId="14" fillId="21" borderId="27" xfId="0" applyFont="1" applyFill="1" applyBorder="1" applyAlignment="1" applyProtection="1">
      <alignment horizontal="left"/>
    </xf>
    <xf numFmtId="0" fontId="14" fillId="21" borderId="28" xfId="0" applyFont="1" applyFill="1" applyBorder="1" applyAlignment="1" applyProtection="1">
      <alignment horizontal="left"/>
    </xf>
    <xf numFmtId="0" fontId="69" fillId="0" borderId="29" xfId="0" quotePrefix="1" applyFont="1" applyFill="1" applyBorder="1" applyAlignment="1" applyProtection="1">
      <alignment horizontal="left"/>
    </xf>
    <xf numFmtId="0" fontId="69" fillId="0" borderId="0" xfId="0" quotePrefix="1" applyFont="1" applyFill="1" applyBorder="1" applyAlignment="1" applyProtection="1">
      <alignment horizontal="left"/>
    </xf>
    <xf numFmtId="0" fontId="69" fillId="0" borderId="7" xfId="0" quotePrefix="1" applyFont="1" applyFill="1" applyBorder="1" applyAlignment="1" applyProtection="1">
      <alignment horizontal="left"/>
    </xf>
    <xf numFmtId="0" fontId="69" fillId="0" borderId="11" xfId="0" applyFont="1" applyBorder="1" applyAlignment="1" applyProtection="1">
      <alignment horizontal="center" vertical="center"/>
    </xf>
    <xf numFmtId="0" fontId="69" fillId="0" borderId="12" xfId="0" applyFont="1" applyBorder="1" applyAlignment="1" applyProtection="1">
      <alignment horizontal="center" vertical="center"/>
    </xf>
    <xf numFmtId="0" fontId="69" fillId="0" borderId="6" xfId="0" applyFont="1" applyBorder="1" applyAlignment="1" applyProtection="1">
      <alignment horizontal="center" vertical="center"/>
    </xf>
    <xf numFmtId="0" fontId="69" fillId="0" borderId="13" xfId="0" applyFont="1" applyBorder="1" applyAlignment="1" applyProtection="1">
      <alignment horizontal="center" vertical="center"/>
    </xf>
    <xf numFmtId="0" fontId="69" fillId="0" borderId="9" xfId="0" applyFont="1" applyBorder="1" applyAlignment="1" applyProtection="1">
      <alignment horizontal="center" vertical="center"/>
    </xf>
    <xf numFmtId="0" fontId="69" fillId="0" borderId="8" xfId="0" applyFont="1" applyBorder="1" applyAlignment="1" applyProtection="1">
      <alignment horizontal="center" vertical="center"/>
    </xf>
    <xf numFmtId="0" fontId="68" fillId="0" borderId="10" xfId="0" applyFont="1" applyFill="1" applyBorder="1" applyAlignment="1" applyProtection="1">
      <alignment horizontal="right" vertical="center" wrapText="1"/>
    </xf>
    <xf numFmtId="0" fontId="68" fillId="0" borderId="27" xfId="0" applyFont="1" applyFill="1" applyBorder="1" applyAlignment="1" applyProtection="1">
      <alignment horizontal="right" vertical="center" wrapText="1"/>
    </xf>
    <xf numFmtId="0" fontId="68" fillId="0" borderId="28" xfId="0" applyFont="1" applyFill="1" applyBorder="1" applyAlignment="1" applyProtection="1">
      <alignment horizontal="right" vertical="center" wrapText="1"/>
    </xf>
    <xf numFmtId="0" fontId="69" fillId="0" borderId="4" xfId="0" applyFont="1" applyFill="1" applyBorder="1" applyAlignment="1" applyProtection="1">
      <alignment horizontal="center" vertical="center" wrapText="1"/>
    </xf>
    <xf numFmtId="0" fontId="14" fillId="21" borderId="10" xfId="0" applyFont="1" applyFill="1" applyBorder="1" applyAlignment="1" applyProtection="1">
      <alignment horizontal="left" vertical="center"/>
    </xf>
    <xf numFmtId="0" fontId="14" fillId="21" borderId="27" xfId="0" applyFont="1" applyFill="1" applyBorder="1" applyAlignment="1" applyProtection="1">
      <alignment horizontal="left" vertical="center"/>
    </xf>
    <xf numFmtId="0" fontId="14" fillId="21" borderId="28" xfId="0" applyFont="1" applyFill="1" applyBorder="1" applyAlignment="1" applyProtection="1">
      <alignment horizontal="left" vertical="center"/>
    </xf>
    <xf numFmtId="0" fontId="69" fillId="0" borderId="2" xfId="0" applyFont="1" applyBorder="1" applyAlignment="1" applyProtection="1">
      <alignment horizontal="center" vertical="center"/>
    </xf>
    <xf numFmtId="0" fontId="68" fillId="0" borderId="2" xfId="0" applyFont="1" applyFill="1" applyBorder="1" applyAlignment="1" applyProtection="1">
      <alignment horizontal="right" vertical="center" wrapText="1"/>
    </xf>
    <xf numFmtId="0" fontId="68" fillId="0" borderId="11" xfId="0" applyFont="1" applyFill="1" applyBorder="1" applyAlignment="1" applyProtection="1">
      <alignment horizontal="right" vertical="center" wrapText="1"/>
    </xf>
    <xf numFmtId="0" fontId="68" fillId="0" borderId="12" xfId="0" applyFont="1" applyFill="1" applyBorder="1" applyAlignment="1" applyProtection="1">
      <alignment horizontal="right" vertical="center" wrapText="1"/>
    </xf>
    <xf numFmtId="0" fontId="68" fillId="0" borderId="6" xfId="0" applyFont="1" applyFill="1" applyBorder="1" applyAlignment="1" applyProtection="1">
      <alignment horizontal="right" vertical="center" wrapText="1"/>
    </xf>
    <xf numFmtId="0" fontId="69" fillId="0" borderId="2" xfId="0" quotePrefix="1" applyFont="1" applyFill="1" applyBorder="1" applyAlignment="1" applyProtection="1">
      <alignment horizontal="left"/>
    </xf>
    <xf numFmtId="0" fontId="69" fillId="0" borderId="0" xfId="0" applyFont="1" applyFill="1" applyBorder="1" applyAlignment="1" applyProtection="1">
      <alignment horizontal="left" vertical="center" wrapText="1"/>
    </xf>
    <xf numFmtId="0" fontId="69" fillId="0" borderId="11" xfId="0" applyFont="1" applyFill="1" applyBorder="1" applyAlignment="1" applyProtection="1">
      <alignment horizontal="center" vertical="center" wrapText="1"/>
    </xf>
    <xf numFmtId="0" fontId="69" fillId="0" borderId="12" xfId="0" applyFont="1" applyFill="1" applyBorder="1" applyAlignment="1" applyProtection="1">
      <alignment horizontal="center" vertical="center" wrapText="1"/>
    </xf>
    <xf numFmtId="0" fontId="69" fillId="0" borderId="6" xfId="0" applyFont="1" applyFill="1" applyBorder="1" applyAlignment="1" applyProtection="1">
      <alignment horizontal="center" vertical="center" wrapText="1"/>
    </xf>
    <xf numFmtId="0" fontId="69" fillId="0" borderId="13" xfId="0" applyFont="1" applyFill="1" applyBorder="1" applyAlignment="1" applyProtection="1">
      <alignment horizontal="center" vertical="center" wrapText="1"/>
    </xf>
    <xf numFmtId="0" fontId="69" fillId="0" borderId="9" xfId="0" applyFont="1" applyFill="1" applyBorder="1" applyAlignment="1" applyProtection="1">
      <alignment horizontal="center" vertical="center" wrapText="1"/>
    </xf>
    <xf numFmtId="0" fontId="69" fillId="0" borderId="8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9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29" fillId="44" borderId="14" xfId="98" applyFont="1" applyFill="1" applyBorder="1" applyAlignment="1">
      <alignment horizontal="center"/>
    </xf>
    <xf numFmtId="0" fontId="24" fillId="0" borderId="0" xfId="98" quotePrefix="1" applyFont="1" applyFill="1" applyBorder="1" applyAlignment="1">
      <alignment horizontal="center"/>
    </xf>
    <xf numFmtId="0" fontId="51" fillId="0" borderId="2" xfId="98" quotePrefix="1" applyFont="1" applyFill="1" applyBorder="1" applyAlignment="1">
      <alignment horizontal="center"/>
    </xf>
    <xf numFmtId="0" fontId="51" fillId="0" borderId="2" xfId="98" applyFont="1" applyFill="1" applyBorder="1" applyAlignment="1">
      <alignment horizontal="center"/>
    </xf>
    <xf numFmtId="0" fontId="18" fillId="0" borderId="0" xfId="98" applyFont="1" applyFill="1" applyBorder="1" applyAlignment="1">
      <alignment horizontal="center" wrapText="1"/>
    </xf>
    <xf numFmtId="0" fontId="18" fillId="0" borderId="2" xfId="98" applyFont="1" applyFill="1" applyBorder="1" applyAlignment="1">
      <alignment horizontal="center" wrapText="1"/>
    </xf>
    <xf numFmtId="0" fontId="30" fillId="0" borderId="2" xfId="98" applyFont="1" applyFill="1" applyBorder="1" applyAlignment="1">
      <alignment horizontal="center" wrapText="1"/>
    </xf>
    <xf numFmtId="0" fontId="13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166" fontId="14" fillId="0" borderId="1" xfId="0" applyNumberFormat="1" applyFont="1" applyBorder="1" applyAlignment="1">
      <alignment horizontal="right"/>
    </xf>
    <xf numFmtId="0" fontId="15" fillId="2" borderId="14" xfId="1" applyFont="1" applyFill="1" applyBorder="1" applyAlignment="1">
      <alignment horizontal="center"/>
    </xf>
    <xf numFmtId="0" fontId="15" fillId="2" borderId="0" xfId="1" applyFont="1" applyFill="1" applyBorder="1" applyAlignment="1">
      <alignment horizontal="center"/>
    </xf>
    <xf numFmtId="0" fontId="63" fillId="43" borderId="0" xfId="9" applyFont="1" applyFill="1" applyAlignment="1">
      <alignment horizontal="center"/>
    </xf>
    <xf numFmtId="0" fontId="63" fillId="0" borderId="0" xfId="9" applyFont="1" applyFill="1" applyAlignment="1">
      <alignment horizontal="center"/>
    </xf>
    <xf numFmtId="164" fontId="14" fillId="0" borderId="1" xfId="0" applyNumberFormat="1" applyFont="1" applyBorder="1" applyAlignment="1">
      <alignment horizontal="right"/>
    </xf>
    <xf numFmtId="3" fontId="8" fillId="0" borderId="2" xfId="5" applyFont="1" applyFill="1" applyBorder="1" applyAlignment="1">
      <alignment horizontal="center"/>
    </xf>
    <xf numFmtId="0" fontId="74" fillId="0" borderId="0" xfId="141" applyFont="1" applyBorder="1" applyAlignment="1">
      <alignment vertical="center"/>
    </xf>
    <xf numFmtId="0" fontId="77" fillId="0" borderId="0" xfId="141" applyFont="1" applyBorder="1" applyAlignment="1">
      <alignment vertical="center"/>
    </xf>
    <xf numFmtId="0" fontId="79" fillId="0" borderId="0" xfId="141" applyFont="1" applyBorder="1" applyAlignment="1">
      <alignment vertical="center" wrapText="1"/>
    </xf>
    <xf numFmtId="3" fontId="8" fillId="0" borderId="10" xfId="5" applyFont="1" applyFill="1" applyBorder="1" applyAlignment="1">
      <alignment horizontal="center"/>
    </xf>
    <xf numFmtId="0" fontId="8" fillId="0" borderId="10" xfId="141" applyFont="1" applyFill="1" applyBorder="1" applyAlignment="1">
      <alignment horizontal="center"/>
    </xf>
    <xf numFmtId="0" fontId="8" fillId="0" borderId="28" xfId="141" applyFont="1" applyFill="1" applyBorder="1" applyAlignment="1">
      <alignment horizontal="center"/>
    </xf>
    <xf numFmtId="0" fontId="8" fillId="0" borderId="10" xfId="14" applyFont="1" applyFill="1" applyBorder="1" applyAlignment="1">
      <alignment horizontal="center"/>
    </xf>
    <xf numFmtId="0" fontId="8" fillId="0" borderId="28" xfId="14" applyFont="1" applyFill="1" applyBorder="1" applyAlignment="1">
      <alignment horizontal="center"/>
    </xf>
    <xf numFmtId="38" fontId="8" fillId="4" borderId="6" xfId="15" applyNumberFormat="1" applyFont="1" applyFill="1" applyBorder="1" applyAlignment="1">
      <alignment horizontal="right" vertical="center"/>
    </xf>
    <xf numFmtId="38" fontId="8" fillId="4" borderId="8" xfId="15" applyNumberFormat="1" applyFont="1" applyFill="1" applyBorder="1" applyAlignment="1">
      <alignment horizontal="right" vertical="center"/>
    </xf>
    <xf numFmtId="0" fontId="8" fillId="0" borderId="0" xfId="141" applyFont="1" applyFill="1" applyBorder="1" applyAlignment="1">
      <alignment horizontal="left" vertical="top" wrapText="1"/>
    </xf>
    <xf numFmtId="0" fontId="8" fillId="0" borderId="11" xfId="141" applyFont="1" applyFill="1" applyBorder="1" applyAlignment="1">
      <alignment horizontal="left" vertical="top" wrapText="1"/>
    </xf>
    <xf numFmtId="0" fontId="8" fillId="0" borderId="6" xfId="141" applyFont="1" applyFill="1" applyBorder="1" applyAlignment="1">
      <alignment horizontal="left" vertical="top" wrapText="1"/>
    </xf>
    <xf numFmtId="0" fontId="8" fillId="0" borderId="13" xfId="141" applyFont="1" applyFill="1" applyBorder="1" applyAlignment="1">
      <alignment horizontal="left" vertical="top" wrapText="1"/>
    </xf>
    <xf numFmtId="0" fontId="8" fillId="0" borderId="8" xfId="141" applyFont="1" applyFill="1" applyBorder="1" applyAlignment="1">
      <alignment horizontal="left" vertical="top" wrapText="1"/>
    </xf>
    <xf numFmtId="38" fontId="8" fillId="0" borderId="12" xfId="15" applyNumberFormat="1" applyFont="1" applyBorder="1" applyAlignment="1">
      <alignment horizontal="right" vertical="center"/>
    </xf>
    <xf numFmtId="38" fontId="8" fillId="0" borderId="9" xfId="15" applyNumberFormat="1" applyFont="1" applyBorder="1" applyAlignment="1">
      <alignment horizontal="right" vertical="center"/>
    </xf>
    <xf numFmtId="38" fontId="8" fillId="0" borderId="6" xfId="15" applyNumberFormat="1" applyFont="1" applyBorder="1" applyAlignment="1">
      <alignment horizontal="right" vertical="center"/>
    </xf>
    <xf numFmtId="38" fontId="8" fillId="0" borderId="8" xfId="15" applyNumberFormat="1" applyFont="1" applyBorder="1" applyAlignment="1">
      <alignment horizontal="right" vertical="center"/>
    </xf>
    <xf numFmtId="38" fontId="8" fillId="4" borderId="12" xfId="15" applyNumberFormat="1" applyFont="1" applyFill="1" applyBorder="1" applyAlignment="1">
      <alignment horizontal="right" vertical="center"/>
    </xf>
    <xf numFmtId="38" fontId="8" fillId="4" borderId="9" xfId="15" applyNumberFormat="1" applyFont="1" applyFill="1" applyBorder="1" applyAlignment="1">
      <alignment horizontal="right" vertical="center"/>
    </xf>
    <xf numFmtId="38" fontId="8" fillId="4" borderId="12" xfId="141" applyNumberFormat="1" applyFont="1" applyFill="1" applyBorder="1" applyAlignment="1">
      <alignment horizontal="right" vertical="center"/>
    </xf>
    <xf numFmtId="38" fontId="8" fillId="4" borderId="9" xfId="141" applyNumberFormat="1" applyFont="1" applyFill="1" applyBorder="1" applyAlignment="1">
      <alignment horizontal="right" vertical="center"/>
    </xf>
    <xf numFmtId="0" fontId="8" fillId="0" borderId="29" xfId="141" applyFont="1" applyFill="1" applyBorder="1" applyAlignment="1">
      <alignment horizontal="left" vertical="top" wrapText="1"/>
    </xf>
    <xf numFmtId="0" fontId="8" fillId="0" borderId="7" xfId="141" applyFont="1" applyFill="1" applyBorder="1" applyAlignment="1">
      <alignment horizontal="left" vertical="top" wrapText="1"/>
    </xf>
    <xf numFmtId="38" fontId="8" fillId="0" borderId="11" xfId="15" applyNumberFormat="1" applyFont="1" applyBorder="1" applyAlignment="1">
      <alignment horizontal="right" vertical="center"/>
    </xf>
    <xf numFmtId="38" fontId="8" fillId="0" borderId="29" xfId="15" applyNumberFormat="1" applyFont="1" applyBorder="1" applyAlignment="1">
      <alignment horizontal="right" vertical="center"/>
    </xf>
    <xf numFmtId="38" fontId="8" fillId="0" borderId="13" xfId="15" applyNumberFormat="1" applyFont="1" applyBorder="1" applyAlignment="1">
      <alignment horizontal="right" vertical="center"/>
    </xf>
    <xf numFmtId="38" fontId="8" fillId="0" borderId="0" xfId="15" applyNumberFormat="1" applyFont="1" applyBorder="1" applyAlignment="1">
      <alignment horizontal="right" vertical="center"/>
    </xf>
    <xf numFmtId="38" fontId="8" fillId="0" borderId="7" xfId="15" applyNumberFormat="1" applyFont="1" applyBorder="1" applyAlignment="1">
      <alignment horizontal="right" vertical="center"/>
    </xf>
    <xf numFmtId="38" fontId="8" fillId="4" borderId="11" xfId="15" applyNumberFormat="1" applyFont="1" applyFill="1" applyBorder="1" applyAlignment="1">
      <alignment horizontal="right" vertical="center"/>
    </xf>
    <xf numFmtId="38" fontId="8" fillId="4" borderId="29" xfId="15" applyNumberFormat="1" applyFont="1" applyFill="1" applyBorder="1" applyAlignment="1">
      <alignment horizontal="right" vertical="center"/>
    </xf>
    <xf numFmtId="38" fontId="8" fillId="4" borderId="13" xfId="15" applyNumberFormat="1" applyFont="1" applyFill="1" applyBorder="1" applyAlignment="1">
      <alignment horizontal="right" vertical="center"/>
    </xf>
    <xf numFmtId="38" fontId="8" fillId="4" borderId="0" xfId="141" applyNumberFormat="1" applyFont="1" applyFill="1" applyBorder="1" applyAlignment="1">
      <alignment horizontal="right" vertical="center"/>
    </xf>
    <xf numFmtId="38" fontId="8" fillId="4" borderId="7" xfId="15" applyNumberFormat="1" applyFont="1" applyFill="1" applyBorder="1" applyAlignment="1">
      <alignment horizontal="right" vertical="center"/>
    </xf>
    <xf numFmtId="0" fontId="8" fillId="0" borderId="11" xfId="141" applyFont="1" applyFill="1" applyBorder="1" applyAlignment="1">
      <alignment horizontal="left" wrapText="1"/>
    </xf>
    <xf numFmtId="0" fontId="8" fillId="0" borderId="6" xfId="141" applyFont="1" applyFill="1" applyBorder="1" applyAlignment="1">
      <alignment horizontal="left" wrapText="1"/>
    </xf>
    <xf numFmtId="0" fontId="8" fillId="0" borderId="13" xfId="141" applyFont="1" applyFill="1" applyBorder="1" applyAlignment="1">
      <alignment horizontal="left" wrapText="1"/>
    </xf>
    <xf numFmtId="0" fontId="8" fillId="0" borderId="8" xfId="141" applyFont="1" applyFill="1" applyBorder="1" applyAlignment="1">
      <alignment horizontal="left" wrapText="1"/>
    </xf>
    <xf numFmtId="0" fontId="8" fillId="0" borderId="4" xfId="141" applyFont="1" applyBorder="1" applyAlignment="1">
      <alignment horizontal="left" wrapText="1"/>
    </xf>
    <xf numFmtId="38" fontId="8" fillId="4" borderId="0" xfId="15" applyNumberFormat="1" applyFont="1" applyFill="1" applyBorder="1" applyAlignment="1">
      <alignment horizontal="right" vertical="center"/>
    </xf>
    <xf numFmtId="44" fontId="8" fillId="0" borderId="10" xfId="15" applyNumberFormat="1" applyFont="1" applyBorder="1" applyAlignment="1">
      <alignment horizontal="center"/>
    </xf>
    <xf numFmtId="44" fontId="8" fillId="0" borderId="27" xfId="15" applyNumberFormat="1" applyFont="1" applyBorder="1" applyAlignment="1">
      <alignment horizontal="center"/>
    </xf>
    <xf numFmtId="44" fontId="8" fillId="0" borderId="28" xfId="15" applyNumberFormat="1" applyFont="1" applyBorder="1" applyAlignment="1">
      <alignment horizontal="center"/>
    </xf>
    <xf numFmtId="44" fontId="8" fillId="4" borderId="10" xfId="15" applyNumberFormat="1" applyFont="1" applyFill="1" applyBorder="1" applyAlignment="1">
      <alignment horizontal="center"/>
    </xf>
    <xf numFmtId="44" fontId="8" fillId="4" borderId="27" xfId="15" applyNumberFormat="1" applyFont="1" applyFill="1" applyBorder="1" applyAlignment="1">
      <alignment horizontal="center"/>
    </xf>
    <xf numFmtId="44" fontId="8" fillId="4" borderId="28" xfId="15" applyNumberFormat="1" applyFont="1" applyFill="1" applyBorder="1" applyAlignment="1">
      <alignment horizontal="center"/>
    </xf>
    <xf numFmtId="40" fontId="8" fillId="0" borderId="0" xfId="15" applyNumberFormat="1" applyFont="1" applyFill="1" applyBorder="1" applyAlignment="1">
      <alignment horizontal="right" vertical="center"/>
    </xf>
    <xf numFmtId="0" fontId="8" fillId="0" borderId="29" xfId="141" applyFont="1" applyBorder="1" applyAlignment="1">
      <alignment horizontal="left" wrapText="1"/>
    </xf>
    <xf numFmtId="0" fontId="8" fillId="0" borderId="0" xfId="141" applyFont="1" applyBorder="1" applyAlignment="1">
      <alignment horizontal="left" wrapText="1"/>
    </xf>
    <xf numFmtId="0" fontId="8" fillId="0" borderId="7" xfId="141" applyFont="1" applyBorder="1" applyAlignment="1">
      <alignment horizontal="left" wrapText="1"/>
    </xf>
    <xf numFmtId="0" fontId="8" fillId="0" borderId="13" xfId="141" applyFont="1" applyBorder="1" applyAlignment="1">
      <alignment horizontal="left" wrapText="1"/>
    </xf>
    <xf numFmtId="0" fontId="8" fillId="0" borderId="9" xfId="141" applyFont="1" applyBorder="1" applyAlignment="1">
      <alignment horizontal="left" wrapText="1"/>
    </xf>
    <xf numFmtId="0" fontId="8" fillId="0" borderId="8" xfId="141" applyFont="1" applyBorder="1" applyAlignment="1">
      <alignment horizontal="left" wrapText="1"/>
    </xf>
    <xf numFmtId="0" fontId="8" fillId="0" borderId="9" xfId="141" applyFont="1" applyFill="1" applyBorder="1" applyAlignment="1">
      <alignment horizontal="left" vertical="top" wrapText="1"/>
    </xf>
    <xf numFmtId="0" fontId="8" fillId="0" borderId="39" xfId="143" applyFont="1" applyBorder="1" applyAlignment="1">
      <alignment horizontal="center"/>
    </xf>
    <xf numFmtId="0" fontId="8" fillId="0" borderId="17" xfId="143" applyFont="1" applyBorder="1" applyAlignment="1">
      <alignment horizontal="center"/>
    </xf>
    <xf numFmtId="0" fontId="8" fillId="0" borderId="40" xfId="143" applyFont="1" applyBorder="1" applyAlignment="1">
      <alignment horizontal="center"/>
    </xf>
    <xf numFmtId="0" fontId="8" fillId="0" borderId="31" xfId="143" applyFont="1" applyBorder="1" applyAlignment="1">
      <alignment horizontal="center"/>
    </xf>
    <xf numFmtId="0" fontId="8" fillId="0" borderId="14" xfId="143" applyFont="1" applyBorder="1" applyAlignment="1">
      <alignment horizontal="center"/>
    </xf>
    <xf numFmtId="0" fontId="8" fillId="0" borderId="32" xfId="143" applyFont="1" applyBorder="1" applyAlignment="1">
      <alignment horizontal="center"/>
    </xf>
    <xf numFmtId="0" fontId="8" fillId="0" borderId="36" xfId="143" applyFont="1" applyBorder="1" applyAlignment="1">
      <alignment horizontal="center"/>
    </xf>
    <xf numFmtId="0" fontId="8" fillId="0" borderId="0" xfId="143" applyFont="1" applyBorder="1" applyAlignment="1">
      <alignment horizontal="center"/>
    </xf>
    <xf numFmtId="0" fontId="8" fillId="0" borderId="7" xfId="143" applyFont="1" applyBorder="1" applyAlignment="1">
      <alignment horizontal="center"/>
    </xf>
  </cellXfs>
  <cellStyles count="147">
    <cellStyle name="20% - Accent1" xfId="70" builtinId="30" customBuiltin="1"/>
    <cellStyle name="20% - Accent1 2" xfId="17"/>
    <cellStyle name="20% - Accent1 3" xfId="18"/>
    <cellStyle name="20% - Accent2" xfId="74" builtinId="34" customBuiltin="1"/>
    <cellStyle name="20% - Accent2 2" xfId="19"/>
    <cellStyle name="20% - Accent2 3" xfId="20"/>
    <cellStyle name="20% - Accent3" xfId="78" builtinId="38" customBuiltin="1"/>
    <cellStyle name="20% - Accent3 2" xfId="21"/>
    <cellStyle name="20% - Accent3 3" xfId="22"/>
    <cellStyle name="20% - Accent4" xfId="82" builtinId="42" customBuiltin="1"/>
    <cellStyle name="20% - Accent4 2" xfId="23"/>
    <cellStyle name="20% - Accent4 3" xfId="24"/>
    <cellStyle name="20% - Accent5" xfId="86" builtinId="46" customBuiltin="1"/>
    <cellStyle name="20% - Accent5 2" xfId="25"/>
    <cellStyle name="20% - Accent5 3" xfId="26"/>
    <cellStyle name="20% - Accent6" xfId="90" builtinId="50" customBuiltin="1"/>
    <cellStyle name="20% - Accent6 2" xfId="27"/>
    <cellStyle name="20% - Accent6 3" xfId="28"/>
    <cellStyle name="40% - Accent1" xfId="71" builtinId="31" customBuiltin="1"/>
    <cellStyle name="40% - Accent1 2" xfId="29"/>
    <cellStyle name="40% - Accent1 3" xfId="30"/>
    <cellStyle name="40% - Accent2" xfId="75" builtinId="35" customBuiltin="1"/>
    <cellStyle name="40% - Accent2 2" xfId="31"/>
    <cellStyle name="40% - Accent2 3" xfId="32"/>
    <cellStyle name="40% - Accent3" xfId="79" builtinId="39" customBuiltin="1"/>
    <cellStyle name="40% - Accent3 2" xfId="33"/>
    <cellStyle name="40% - Accent3 3" xfId="34"/>
    <cellStyle name="40% - Accent4" xfId="83" builtinId="43" customBuiltin="1"/>
    <cellStyle name="40% - Accent4 2" xfId="35"/>
    <cellStyle name="40% - Accent4 3" xfId="36"/>
    <cellStyle name="40% - Accent5" xfId="87" builtinId="47" customBuiltin="1"/>
    <cellStyle name="40% - Accent5 2" xfId="37"/>
    <cellStyle name="40% - Accent5 3" xfId="38"/>
    <cellStyle name="40% - Accent6" xfId="91" builtinId="51" customBuiltin="1"/>
    <cellStyle name="40% - Accent6 2" xfId="39"/>
    <cellStyle name="40% - Accent6 3" xfId="40"/>
    <cellStyle name="60% - Accent1" xfId="72" builtinId="32" customBuiltin="1"/>
    <cellStyle name="60% - Accent2" xfId="76" builtinId="36" customBuiltin="1"/>
    <cellStyle name="60% - Accent3" xfId="80" builtinId="40" customBuiltin="1"/>
    <cellStyle name="60% - Accent4" xfId="84" builtinId="44" customBuiltin="1"/>
    <cellStyle name="60% - Accent5" xfId="88" builtinId="48" customBuiltin="1"/>
    <cellStyle name="60% - Accent6" xfId="92" builtinId="52" customBuiltin="1"/>
    <cellStyle name="Accent1" xfId="69" builtinId="29" customBuiltin="1"/>
    <cellStyle name="Accent2" xfId="73" builtinId="33" customBuiltin="1"/>
    <cellStyle name="Accent3" xfId="77" builtinId="37" customBuiltin="1"/>
    <cellStyle name="Accent4" xfId="81" builtinId="41" customBuiltin="1"/>
    <cellStyle name="Accent5" xfId="85" builtinId="45" customBuiltin="1"/>
    <cellStyle name="Accent6" xfId="89" builtinId="49" customBuiltin="1"/>
    <cellStyle name="Bad" xfId="59" builtinId="27" customBuiltin="1"/>
    <cellStyle name="Calculation" xfId="63" builtinId="22" customBuiltin="1"/>
    <cellStyle name="Check Cell" xfId="65" builtinId="23" customBuiltin="1"/>
    <cellStyle name="Comma" xfId="138" builtinId="3"/>
    <cellStyle name="Comma 10" xfId="101"/>
    <cellStyle name="Comma 11" xfId="102"/>
    <cellStyle name="Comma 2" xfId="2"/>
    <cellStyle name="Comma 2 2" xfId="94"/>
    <cellStyle name="Comma 2 2 2" xfId="142"/>
    <cellStyle name="Comma 3" xfId="3"/>
    <cellStyle name="Comma 3 2" xfId="103"/>
    <cellStyle name="Comma 4" xfId="16"/>
    <cellStyle name="Comma 4 2" xfId="104"/>
    <cellStyle name="Comma 5" xfId="105"/>
    <cellStyle name="Comma 5 2" xfId="106"/>
    <cellStyle name="Comma 6" xfId="107"/>
    <cellStyle name="Comma 7" xfId="108"/>
    <cellStyle name="Comma 8" xfId="109"/>
    <cellStyle name="Comma 9" xfId="110"/>
    <cellStyle name="Comma0" xfId="4"/>
    <cellStyle name="Comma0 2" xfId="5"/>
    <cellStyle name="Comma0 3" xfId="100"/>
    <cellStyle name="Comma0_I1 Instructions" xfId="145"/>
    <cellStyle name="Currency" xfId="139" builtinId="4"/>
    <cellStyle name="Currency 2" xfId="12"/>
    <cellStyle name="Currency 2 2" xfId="97"/>
    <cellStyle name="Currency 3" xfId="15"/>
    <cellStyle name="Currency 3 2" xfId="111"/>
    <cellStyle name="Currency 4" xfId="112"/>
    <cellStyle name="Currency 4 2" xfId="113"/>
    <cellStyle name="Currency 5" xfId="114"/>
    <cellStyle name="Currency 6" xfId="115"/>
    <cellStyle name="Currency 7" xfId="116"/>
    <cellStyle name="Currency 8" xfId="117"/>
    <cellStyle name="Currency0" xfId="6"/>
    <cellStyle name="Currency0 2" xfId="41"/>
    <cellStyle name="Date" xfId="7"/>
    <cellStyle name="Explanatory Text" xfId="67" builtinId="53" customBuiltin="1"/>
    <cellStyle name="Fixed" xfId="8"/>
    <cellStyle name="Good" xfId="58" builtinId="26" customBuiltin="1"/>
    <cellStyle name="Heading 1" xfId="54" builtinId="16" customBuiltin="1"/>
    <cellStyle name="Heading 1 2" xfId="118"/>
    <cellStyle name="Heading 1 3" xfId="119"/>
    <cellStyle name="Heading 2" xfId="55" builtinId="17" customBuiltin="1"/>
    <cellStyle name="Heading 2 2" xfId="120"/>
    <cellStyle name="Heading 2 3" xfId="121"/>
    <cellStyle name="Heading 3" xfId="56" builtinId="18" customBuiltin="1"/>
    <cellStyle name="Heading 4" xfId="57" builtinId="19" customBuiltin="1"/>
    <cellStyle name="Input" xfId="61" builtinId="20" customBuiltin="1"/>
    <cellStyle name="Linked Cell" xfId="64" builtinId="24" customBuiltin="1"/>
    <cellStyle name="Neutral" xfId="60" builtinId="28" customBuiltin="1"/>
    <cellStyle name="Normal" xfId="0" builtinId="0"/>
    <cellStyle name="Normal 10" xfId="122"/>
    <cellStyle name="Normal 11" xfId="123"/>
    <cellStyle name="Normal 12" xfId="124"/>
    <cellStyle name="Normal 13" xfId="125"/>
    <cellStyle name="Normal 14" xfId="126"/>
    <cellStyle name="Normal 15" xfId="127"/>
    <cellStyle name="Normal 2" xfId="1"/>
    <cellStyle name="Normal 2 2" xfId="42"/>
    <cellStyle name="Normal 2 2 2" xfId="141"/>
    <cellStyle name="Normal 2 3" xfId="43"/>
    <cellStyle name="Normal 2 4" xfId="140"/>
    <cellStyle name="Normal 3" xfId="9"/>
    <cellStyle name="Normal 3 2" xfId="14"/>
    <cellStyle name="Normal 3 2 2" xfId="95"/>
    <cellStyle name="Normal 3 3" xfId="44"/>
    <cellStyle name="Normal 4" xfId="13"/>
    <cellStyle name="Normal 4 2" xfId="96"/>
    <cellStyle name="Normal 5" xfId="45"/>
    <cellStyle name="Normal 5 2" xfId="46"/>
    <cellStyle name="Normal 6" xfId="52"/>
    <cellStyle name="Normal 6 2" xfId="128"/>
    <cellStyle name="Normal 6 3" xfId="129"/>
    <cellStyle name="Normal 6 4" xfId="144"/>
    <cellStyle name="Normal 7" xfId="130"/>
    <cellStyle name="Normal 7 2" xfId="131"/>
    <cellStyle name="Normal 7 3" xfId="146"/>
    <cellStyle name="Normal 8" xfId="132"/>
    <cellStyle name="Normal 8 2" xfId="133"/>
    <cellStyle name="Normal 9" xfId="134"/>
    <cellStyle name="Normal_December 02 Special Session Reductions" xfId="98"/>
    <cellStyle name="Normal_Summary Fall 2001 Salary Equity OCt 16" xfId="51"/>
    <cellStyle name="Normal_wiche tuition comparisons_2000-2001" xfId="143"/>
    <cellStyle name="Note 2" xfId="47"/>
    <cellStyle name="Note 2 2" xfId="48"/>
    <cellStyle name="Note 3" xfId="49"/>
    <cellStyle name="Output" xfId="62" builtinId="21" customBuiltin="1"/>
    <cellStyle name="Percent" xfId="50" builtinId="5"/>
    <cellStyle name="Percent 2" xfId="10"/>
    <cellStyle name="Percent 2 2" xfId="93"/>
    <cellStyle name="Percent 3" xfId="11"/>
    <cellStyle name="Percent 4" xfId="135"/>
    <cellStyle name="Percent_December 02 Special Session Reductions" xfId="99"/>
    <cellStyle name="Title" xfId="53" builtinId="15" customBuiltin="1"/>
    <cellStyle name="Total" xfId="68" builtinId="25" customBuiltin="1"/>
    <cellStyle name="Total 2" xfId="136"/>
    <cellStyle name="Total 3" xfId="137"/>
    <cellStyle name="Warning Text" xfId="66" builtinId="11" customBuiltin="1"/>
  </cellStyles>
  <dxfs count="0"/>
  <tableStyles count="0" defaultTableStyle="TableStyleMedium9" defaultPivotStyle="PivotStyleLight16"/>
  <colors>
    <mruColors>
      <color rgb="FFFFCC00"/>
      <color rgb="FF6600FF"/>
      <color rgb="FF008000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3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 b="1"/>
              <a:t>Utah System of Higher Education</a:t>
            </a:r>
          </a:p>
          <a:p>
            <a:pPr>
              <a:defRPr sz="1600"/>
            </a:pPr>
            <a:r>
              <a:rPr lang="en-US" sz="1600" b="1" baseline="0"/>
              <a:t> </a:t>
            </a:r>
            <a:r>
              <a:rPr lang="en-US" sz="1600" b="1" baseline="0">
                <a:solidFill>
                  <a:srgbClr val="FF0000"/>
                </a:solidFill>
              </a:rPr>
              <a:t>TUITION &amp; FEE COMPARISONS </a:t>
            </a:r>
          </a:p>
          <a:p>
            <a:pPr>
              <a:defRPr sz="1600"/>
            </a:pPr>
            <a:r>
              <a:rPr lang="en-US" sz="1600" b="1" baseline="0"/>
              <a:t>Utah Resident Undergraduate </a:t>
            </a:r>
            <a:r>
              <a:rPr lang="en-US" sz="1600" baseline="0"/>
              <a:t>2018-19</a:t>
            </a:r>
            <a:endParaRPr lang="en-US" sz="16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958356144902728"/>
          <c:y val="0.10015179830547608"/>
          <c:w val="0.81471677971485257"/>
          <c:h val="0.86090698881801908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'Chart Data (Not In Agenda)'!$B$4</c:f>
              <c:strCache>
                <c:ptCount val="1"/>
                <c:pt idx="0">
                  <c:v>WICHE Avg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0.10215485899750615"/>
                  <c:y val="-1.1769829208816765E-7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D87-46B3-A7F1-64A9904C17B9}"/>
                </c:ext>
              </c:extLst>
            </c:dLbl>
            <c:dLbl>
              <c:idx val="1"/>
              <c:layout>
                <c:manualLayout>
                  <c:x val="-0.10215471216273521"/>
                  <c:y val="1.0961507651748446E-16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D87-46B3-A7F1-64A9904C17B9}"/>
                </c:ext>
              </c:extLst>
            </c:dLbl>
            <c:dLbl>
              <c:idx val="2"/>
              <c:layout>
                <c:manualLayout>
                  <c:x val="-0.10371629995172121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D87-46B3-A7F1-64A9904C17B9}"/>
                </c:ext>
              </c:extLst>
            </c:dLbl>
            <c:dLbl>
              <c:idx val="3"/>
              <c:layout>
                <c:manualLayout>
                  <c:x val="-0.10029005740652273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D87-46B3-A7F1-64A9904C17B9}"/>
                </c:ext>
              </c:extLst>
            </c:dLbl>
            <c:dLbl>
              <c:idx val="4"/>
              <c:layout>
                <c:manualLayout>
                  <c:x val="-0.10401951375371959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D87-46B3-A7F1-64A9904C17B9}"/>
                </c:ext>
              </c:extLst>
            </c:dLbl>
            <c:dLbl>
              <c:idx val="5"/>
              <c:layout>
                <c:manualLayout>
                  <c:x val="-0.10371629995172121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D87-46B3-A7F1-64A9904C17B9}"/>
                </c:ext>
              </c:extLst>
            </c:dLbl>
            <c:dLbl>
              <c:idx val="6"/>
              <c:layout>
                <c:manualLayout>
                  <c:x val="-0.10215471216273521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D87-46B3-A7F1-64A9904C17B9}"/>
                </c:ext>
              </c:extLst>
            </c:dLbl>
            <c:dLbl>
              <c:idx val="7"/>
              <c:layout>
                <c:manualLayout>
                  <c:x val="-9.9986696769752567E-2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D87-46B3-A7F1-64A9904C17B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'Chart Data (Not In Agenda)'!$A$5:$A$12</c:f>
              <c:strCache>
                <c:ptCount val="8"/>
                <c:pt idx="0">
                  <c:v>SLCC</c:v>
                </c:pt>
                <c:pt idx="1">
                  <c:v>UVU</c:v>
                </c:pt>
                <c:pt idx="2">
                  <c:v>DSU</c:v>
                </c:pt>
                <c:pt idx="3">
                  <c:v>SNOW</c:v>
                </c:pt>
                <c:pt idx="4">
                  <c:v>SUU</c:v>
                </c:pt>
                <c:pt idx="5">
                  <c:v>WSU</c:v>
                </c:pt>
                <c:pt idx="6">
                  <c:v>USU</c:v>
                </c:pt>
                <c:pt idx="7">
                  <c:v>UU</c:v>
                </c:pt>
              </c:strCache>
            </c:strRef>
          </c:cat>
          <c:val>
            <c:numRef>
              <c:f>'Chart Data (Not In Agenda)'!$B$5:$B$12</c:f>
              <c:numCache>
                <c:formatCode>"$"#,##0</c:formatCode>
                <c:ptCount val="8"/>
                <c:pt idx="0">
                  <c:v>2823.6271372549022</c:v>
                </c:pt>
                <c:pt idx="1">
                  <c:v>7541.7</c:v>
                </c:pt>
                <c:pt idx="2">
                  <c:v>7644.318181818182</c:v>
                </c:pt>
                <c:pt idx="3">
                  <c:v>2823.6271372549022</c:v>
                </c:pt>
                <c:pt idx="4">
                  <c:v>7153.8</c:v>
                </c:pt>
                <c:pt idx="5">
                  <c:v>7541.7</c:v>
                </c:pt>
                <c:pt idx="6">
                  <c:v>9029.7333333333336</c:v>
                </c:pt>
                <c:pt idx="7">
                  <c:v>12073.428571428571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D87-46B3-A7F1-64A9904C17B9}"/>
            </c:ext>
          </c:extLst>
        </c:ser>
        <c:ser>
          <c:idx val="2"/>
          <c:order val="1"/>
          <c:tx>
            <c:strRef>
              <c:f>'Chart Data (Not In Agenda)'!$C$4</c:f>
              <c:strCache>
                <c:ptCount val="1"/>
                <c:pt idx="0">
                  <c:v>Rocky Mtn Avg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0.13094548671027997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D87-46B3-A7F1-64A9904C17B9}"/>
                </c:ext>
              </c:extLst>
            </c:dLbl>
            <c:dLbl>
              <c:idx val="1"/>
              <c:layout>
                <c:manualLayout>
                  <c:x val="-0.13311350210326126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D87-46B3-A7F1-64A9904C17B9}"/>
                </c:ext>
              </c:extLst>
            </c:dLbl>
            <c:dLbl>
              <c:idx val="2"/>
              <c:layout>
                <c:manualLayout>
                  <c:x val="-0.13311350210326126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D87-46B3-A7F1-64A9904C17B9}"/>
                </c:ext>
              </c:extLst>
            </c:dLbl>
            <c:dLbl>
              <c:idx val="3"/>
              <c:layout>
                <c:manualLayout>
                  <c:x val="-0.13281028830126362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D87-46B3-A7F1-64A9904C17B9}"/>
                </c:ext>
              </c:extLst>
            </c:dLbl>
            <c:dLbl>
              <c:idx val="4"/>
              <c:layout>
                <c:manualLayout>
                  <c:x val="-0.12938389892129301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D87-46B3-A7F1-64A9904C17B9}"/>
                </c:ext>
              </c:extLst>
            </c:dLbl>
            <c:dLbl>
              <c:idx val="5"/>
              <c:layout>
                <c:manualLayout>
                  <c:x val="-0.13281028830126362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D87-46B3-A7F1-64A9904C17B9}"/>
                </c:ext>
              </c:extLst>
            </c:dLbl>
            <c:dLbl>
              <c:idx val="6"/>
              <c:layout>
                <c:manualLayout>
                  <c:x val="-0.13155191431427568"/>
                  <c:y val="-1.1769829222518646E-7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D87-46B3-A7F1-64A9904C17B9}"/>
                </c:ext>
              </c:extLst>
            </c:dLbl>
            <c:dLbl>
              <c:idx val="7"/>
              <c:layout>
                <c:manualLayout>
                  <c:x val="-0.13281028830126362"/>
                  <c:y val="1.3701884564685608E-17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D87-46B3-A7F1-64A9904C17B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'Chart Data (Not In Agenda)'!$A$5:$A$12</c:f>
              <c:strCache>
                <c:ptCount val="8"/>
                <c:pt idx="0">
                  <c:v>SLCC</c:v>
                </c:pt>
                <c:pt idx="1">
                  <c:v>UVU</c:v>
                </c:pt>
                <c:pt idx="2">
                  <c:v>DSU</c:v>
                </c:pt>
                <c:pt idx="3">
                  <c:v>SNOW</c:v>
                </c:pt>
                <c:pt idx="4">
                  <c:v>SUU</c:v>
                </c:pt>
                <c:pt idx="5">
                  <c:v>WSU</c:v>
                </c:pt>
                <c:pt idx="6">
                  <c:v>USU</c:v>
                </c:pt>
                <c:pt idx="7">
                  <c:v>UU</c:v>
                </c:pt>
              </c:strCache>
            </c:strRef>
          </c:cat>
          <c:val>
            <c:numRef>
              <c:f>'Chart Data (Not In Agenda)'!$C$5:$C$12</c:f>
              <c:numCache>
                <c:formatCode>"$"#,##0</c:formatCode>
                <c:ptCount val="8"/>
                <c:pt idx="0">
                  <c:v>3146.7169230769227</c:v>
                </c:pt>
                <c:pt idx="1">
                  <c:v>7379.666666666667</c:v>
                </c:pt>
                <c:pt idx="2">
                  <c:v>7275</c:v>
                </c:pt>
                <c:pt idx="3">
                  <c:v>3146.7169230769227</c:v>
                </c:pt>
                <c:pt idx="4">
                  <c:v>6511.5</c:v>
                </c:pt>
                <c:pt idx="5">
                  <c:v>7379.666666666667</c:v>
                </c:pt>
                <c:pt idx="6">
                  <c:v>9050.8888888888887</c:v>
                </c:pt>
                <c:pt idx="7">
                  <c:v>10343.75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9D87-46B3-A7F1-64A9904C17B9}"/>
            </c:ext>
          </c:extLst>
        </c:ser>
        <c:ser>
          <c:idx val="3"/>
          <c:order val="2"/>
          <c:tx>
            <c:strRef>
              <c:f>'Chart Data (Not In Agenda)'!$D$4</c:f>
              <c:strCache>
                <c:ptCount val="1"/>
                <c:pt idx="0">
                  <c:v>USHE Inst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6.1335586656389704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D87-46B3-A7F1-64A9904C17B9}"/>
                </c:ext>
              </c:extLst>
            </c:dLbl>
            <c:dLbl>
              <c:idx val="1"/>
              <c:layout>
                <c:manualLayout>
                  <c:x val="-6.4184934244205988E-2"/>
                  <c:y val="1.2308232647306042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D87-46B3-A7F1-64A9904C17B9}"/>
                </c:ext>
              </c:extLst>
            </c:dLbl>
            <c:dLbl>
              <c:idx val="2"/>
              <c:layout>
                <c:manualLayout>
                  <c:x val="-5.7497941306215564E-2"/>
                  <c:y val="-9.6915217605064047E-8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D87-46B3-A7F1-64A9904C17B9}"/>
                </c:ext>
              </c:extLst>
            </c:dLbl>
            <c:dLbl>
              <c:idx val="3"/>
              <c:layout>
                <c:manualLayout>
                  <c:x val="-7.9969630660745528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D87-46B3-A7F1-64A9904C17B9}"/>
                </c:ext>
              </c:extLst>
            </c:dLbl>
            <c:dLbl>
              <c:idx val="4"/>
              <c:layout>
                <c:manualLayout>
                  <c:x val="-6.07104547962928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D87-46B3-A7F1-64A9904C17B9}"/>
                </c:ext>
              </c:extLst>
            </c:dLbl>
            <c:dLbl>
              <c:idx val="5"/>
              <c:layout>
                <c:manualLayout>
                  <c:x val="-6.597752986996663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D87-46B3-A7F1-64A9904C17B9}"/>
                </c:ext>
              </c:extLst>
            </c:dLbl>
            <c:dLbl>
              <c:idx val="6"/>
              <c:layout>
                <c:manualLayout>
                  <c:x val="-5.9348699611900792E-2"/>
                  <c:y val="-1.2308232647306042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D87-46B3-A7F1-64A9904C17B9}"/>
                </c:ext>
              </c:extLst>
            </c:dLbl>
            <c:dLbl>
              <c:idx val="7"/>
              <c:layout>
                <c:manualLayout>
                  <c:x val="-4.8020543120922077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D87-46B3-A7F1-64A9904C17B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'Chart Data (Not In Agenda)'!$A$5:$A$12</c:f>
              <c:strCache>
                <c:ptCount val="8"/>
                <c:pt idx="0">
                  <c:v>SLCC</c:v>
                </c:pt>
                <c:pt idx="1">
                  <c:v>UVU</c:v>
                </c:pt>
                <c:pt idx="2">
                  <c:v>DSU</c:v>
                </c:pt>
                <c:pt idx="3">
                  <c:v>SNOW</c:v>
                </c:pt>
                <c:pt idx="4">
                  <c:v>SUU</c:v>
                </c:pt>
                <c:pt idx="5">
                  <c:v>WSU</c:v>
                </c:pt>
                <c:pt idx="6">
                  <c:v>USU</c:v>
                </c:pt>
                <c:pt idx="7">
                  <c:v>UU</c:v>
                </c:pt>
              </c:strCache>
            </c:strRef>
          </c:cat>
          <c:val>
            <c:numRef>
              <c:f>'Chart Data (Not In Agenda)'!$D$5:$D$12</c:f>
              <c:numCache>
                <c:formatCode>"$"#,##0</c:formatCode>
                <c:ptCount val="8"/>
                <c:pt idx="0">
                  <c:v>3843</c:v>
                </c:pt>
                <c:pt idx="1">
                  <c:v>5726</c:v>
                </c:pt>
                <c:pt idx="2">
                  <c:v>5253</c:v>
                </c:pt>
                <c:pt idx="3">
                  <c:v>3742</c:v>
                </c:pt>
                <c:pt idx="4">
                  <c:v>6816</c:v>
                </c:pt>
                <c:pt idx="5">
                  <c:v>5859</c:v>
                </c:pt>
                <c:pt idx="6">
                  <c:v>7425</c:v>
                </c:pt>
                <c:pt idx="7">
                  <c:v>9122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9D87-46B3-A7F1-64A9904C17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33621248"/>
        <c:axId val="133622784"/>
      </c:barChart>
      <c:catAx>
        <c:axId val="13362124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133622784"/>
        <c:crosses val="autoZero"/>
        <c:auto val="1"/>
        <c:lblAlgn val="ctr"/>
        <c:lblOffset val="100"/>
        <c:noMultiLvlLbl val="0"/>
      </c:catAx>
      <c:valAx>
        <c:axId val="133622784"/>
        <c:scaling>
          <c:orientation val="minMax"/>
          <c:max val="15000"/>
          <c:min val="0"/>
        </c:scaling>
        <c:delete val="0"/>
        <c:axPos val="b"/>
        <c:majorGridlines/>
        <c:numFmt formatCode="&quot;$&quot;#,##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/>
            </a:pPr>
            <a:endParaRPr lang="en-US"/>
          </a:p>
        </c:txPr>
        <c:crossAx val="1336212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11" l="0.70000000000000062" r="0.70000000000000062" t="0.75000000000000311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/>
            </a:pPr>
            <a:r>
              <a:rPr lang="en-US" sz="1600" b="1"/>
              <a:t>Utah System of Higher Education</a:t>
            </a:r>
          </a:p>
          <a:p>
            <a:pPr>
              <a:defRPr sz="1800" b="1"/>
            </a:pPr>
            <a:r>
              <a:rPr lang="en-US" sz="1600" b="1">
                <a:solidFill>
                  <a:srgbClr val="FF0000"/>
                </a:solidFill>
              </a:rPr>
              <a:t>TUITION</a:t>
            </a:r>
            <a:r>
              <a:rPr lang="en-US" sz="1600" b="1" baseline="0">
                <a:solidFill>
                  <a:srgbClr val="FF0000"/>
                </a:solidFill>
              </a:rPr>
              <a:t> &amp; FEE COMPARISONS</a:t>
            </a:r>
            <a:endParaRPr lang="en-US" sz="1600" b="1">
              <a:solidFill>
                <a:srgbClr val="FF0000"/>
              </a:solidFill>
            </a:endParaRPr>
          </a:p>
          <a:p>
            <a:pPr>
              <a:defRPr sz="1800" b="1"/>
            </a:pPr>
            <a:r>
              <a:rPr lang="en-US" sz="1600" b="1"/>
              <a:t>Utah Resident</a:t>
            </a:r>
            <a:r>
              <a:rPr lang="en-US" sz="1600" b="1" baseline="0"/>
              <a:t> Graduate 2018-19</a:t>
            </a:r>
            <a:endParaRPr lang="en-US" sz="1600" b="1"/>
          </a:p>
        </c:rich>
      </c:tx>
      <c:layout>
        <c:manualLayout>
          <c:xMode val="edge"/>
          <c:yMode val="edge"/>
          <c:x val="0.29501507066957205"/>
          <c:y val="1.53005467114245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511085976131437E-2"/>
          <c:y val="0.13150952422889717"/>
          <c:w val="0.86651763961035044"/>
          <c:h val="0.8264497539081786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'Chart Data (Not In Agenda)'!$B$15</c:f>
              <c:strCache>
                <c:ptCount val="1"/>
                <c:pt idx="0">
                  <c:v>WICHE Avg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0.10215485899750615"/>
                  <c:y val="-1.1769829208816747E-7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961-4565-83EF-163063738432}"/>
                </c:ext>
              </c:extLst>
            </c:dLbl>
            <c:dLbl>
              <c:idx val="1"/>
              <c:layout>
                <c:manualLayout>
                  <c:x val="-0.10215471216273521"/>
                  <c:y val="1.0961507651748423E-16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961-4565-83EF-163063738432}"/>
                </c:ext>
              </c:extLst>
            </c:dLbl>
            <c:dLbl>
              <c:idx val="2"/>
              <c:layout>
                <c:manualLayout>
                  <c:x val="-0.10371629995172119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961-4565-83EF-163063738432}"/>
                </c:ext>
              </c:extLst>
            </c:dLbl>
            <c:dLbl>
              <c:idx val="3"/>
              <c:layout>
                <c:manualLayout>
                  <c:x val="-0.10029005740652268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961-4565-83EF-163063738432}"/>
                </c:ext>
              </c:extLst>
            </c:dLbl>
            <c:dLbl>
              <c:idx val="4"/>
              <c:layout>
                <c:manualLayout>
                  <c:x val="-0.10401951375371959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961-4565-83EF-163063738432}"/>
                </c:ext>
              </c:extLst>
            </c:dLbl>
            <c:dLbl>
              <c:idx val="5"/>
              <c:layout>
                <c:manualLayout>
                  <c:x val="-0.10371629995172119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961-4565-83EF-163063738432}"/>
                </c:ext>
              </c:extLst>
            </c:dLbl>
            <c:dLbl>
              <c:idx val="6"/>
              <c:layout>
                <c:manualLayout>
                  <c:x val="-0.10215471216273521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961-4565-83EF-163063738432}"/>
                </c:ext>
              </c:extLst>
            </c:dLbl>
            <c:dLbl>
              <c:idx val="7"/>
              <c:layout>
                <c:manualLayout>
                  <c:x val="-9.9986696769752567E-2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961-4565-83EF-16306373843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'Chart Data (Not In Agenda)'!$A$16:$A$21</c:f>
              <c:strCache>
                <c:ptCount val="6"/>
                <c:pt idx="0">
                  <c:v>UVU</c:v>
                </c:pt>
                <c:pt idx="1">
                  <c:v>DSU</c:v>
                </c:pt>
                <c:pt idx="2">
                  <c:v>SUU</c:v>
                </c:pt>
                <c:pt idx="3">
                  <c:v>WSU</c:v>
                </c:pt>
                <c:pt idx="4">
                  <c:v>USU</c:v>
                </c:pt>
                <c:pt idx="5">
                  <c:v>UU</c:v>
                </c:pt>
              </c:strCache>
            </c:strRef>
          </c:cat>
          <c:val>
            <c:numRef>
              <c:f>'Chart Data (Not In Agenda)'!$B$16:$B$21</c:f>
              <c:numCache>
                <c:formatCode>"$"#,##0</c:formatCode>
                <c:ptCount val="6"/>
                <c:pt idx="0">
                  <c:v>8999.4</c:v>
                </c:pt>
                <c:pt idx="1">
                  <c:v>10146.928571428571</c:v>
                </c:pt>
                <c:pt idx="2">
                  <c:v>9459.4</c:v>
                </c:pt>
                <c:pt idx="3">
                  <c:v>8999.4</c:v>
                </c:pt>
                <c:pt idx="4">
                  <c:v>10041.4</c:v>
                </c:pt>
                <c:pt idx="5">
                  <c:v>12768.619047619048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961-4565-83EF-163063738432}"/>
            </c:ext>
          </c:extLst>
        </c:ser>
        <c:ser>
          <c:idx val="2"/>
          <c:order val="1"/>
          <c:tx>
            <c:strRef>
              <c:f>'Chart Data (Not In Agenda)'!$C$15</c:f>
              <c:strCache>
                <c:ptCount val="1"/>
                <c:pt idx="0">
                  <c:v>Rocky Mtn Avg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0.13094548671027986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961-4565-83EF-163063738432}"/>
                </c:ext>
              </c:extLst>
            </c:dLbl>
            <c:dLbl>
              <c:idx val="1"/>
              <c:layout>
                <c:manualLayout>
                  <c:x val="-0.13311350210326126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961-4565-83EF-163063738432}"/>
                </c:ext>
              </c:extLst>
            </c:dLbl>
            <c:dLbl>
              <c:idx val="2"/>
              <c:layout>
                <c:manualLayout>
                  <c:x val="-0.13311350210326126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961-4565-83EF-163063738432}"/>
                </c:ext>
              </c:extLst>
            </c:dLbl>
            <c:dLbl>
              <c:idx val="3"/>
              <c:layout>
                <c:manualLayout>
                  <c:x val="-0.13281028830126354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961-4565-83EF-163063738432}"/>
                </c:ext>
              </c:extLst>
            </c:dLbl>
            <c:dLbl>
              <c:idx val="4"/>
              <c:layout>
                <c:manualLayout>
                  <c:x val="-0.12938389892129301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961-4565-83EF-163063738432}"/>
                </c:ext>
              </c:extLst>
            </c:dLbl>
            <c:dLbl>
              <c:idx val="5"/>
              <c:layout>
                <c:manualLayout>
                  <c:x val="-0.13281028830126354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961-4565-83EF-163063738432}"/>
                </c:ext>
              </c:extLst>
            </c:dLbl>
            <c:dLbl>
              <c:idx val="6"/>
              <c:layout>
                <c:manualLayout>
                  <c:x val="-0.13155191431427568"/>
                  <c:y val="-1.1769829222518626E-7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961-4565-83EF-163063738432}"/>
                </c:ext>
              </c:extLst>
            </c:dLbl>
            <c:dLbl>
              <c:idx val="7"/>
              <c:layout>
                <c:manualLayout>
                  <c:x val="-0.13281028830126354"/>
                  <c:y val="1.3701884564685576E-17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961-4565-83EF-16306373843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'Chart Data (Not In Agenda)'!$A$16:$A$21</c:f>
              <c:strCache>
                <c:ptCount val="6"/>
                <c:pt idx="0">
                  <c:v>UVU</c:v>
                </c:pt>
                <c:pt idx="1">
                  <c:v>DSU</c:v>
                </c:pt>
                <c:pt idx="2">
                  <c:v>SUU</c:v>
                </c:pt>
                <c:pt idx="3">
                  <c:v>WSU</c:v>
                </c:pt>
                <c:pt idx="4">
                  <c:v>USU</c:v>
                </c:pt>
                <c:pt idx="5">
                  <c:v>UU</c:v>
                </c:pt>
              </c:strCache>
            </c:strRef>
          </c:cat>
          <c:val>
            <c:numRef>
              <c:f>'Chart Data (Not In Agenda)'!$C$16:$C$21</c:f>
              <c:numCache>
                <c:formatCode>"$"#,##0</c:formatCode>
                <c:ptCount val="6"/>
                <c:pt idx="0">
                  <c:v>8130.666666666667</c:v>
                </c:pt>
                <c:pt idx="1">
                  <c:v>10029.857142857143</c:v>
                </c:pt>
                <c:pt idx="2">
                  <c:v>6849</c:v>
                </c:pt>
                <c:pt idx="3">
                  <c:v>8130.666666666667</c:v>
                </c:pt>
                <c:pt idx="4">
                  <c:v>9228.5555555555547</c:v>
                </c:pt>
                <c:pt idx="5">
                  <c:v>10763.625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4961-4565-83EF-163063738432}"/>
            </c:ext>
          </c:extLst>
        </c:ser>
        <c:ser>
          <c:idx val="3"/>
          <c:order val="2"/>
          <c:tx>
            <c:strRef>
              <c:f>'Chart Data (Not In Agenda)'!$D$15</c:f>
              <c:strCache>
                <c:ptCount val="1"/>
                <c:pt idx="0">
                  <c:v>USHE Inst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6.052798454989277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961-4565-83EF-163063738432}"/>
                </c:ext>
              </c:extLst>
            </c:dLbl>
            <c:dLbl>
              <c:idx val="1"/>
              <c:layout>
                <c:manualLayout>
                  <c:x val="-5.8535647230248462E-2"/>
                  <c:y val="1.2185018066090409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961-4565-83EF-163063738432}"/>
                </c:ext>
              </c:extLst>
            </c:dLbl>
            <c:dLbl>
              <c:idx val="2"/>
              <c:layout>
                <c:manualLayout>
                  <c:x val="-6.2337533330753918E-2"/>
                  <c:y val="1.2185018066090409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961-4565-83EF-163063738432}"/>
                </c:ext>
              </c:extLst>
            </c:dLbl>
            <c:dLbl>
              <c:idx val="3"/>
              <c:layout>
                <c:manualLayout>
                  <c:x val="-5.8918405852929595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961-4565-83EF-163063738432}"/>
                </c:ext>
              </c:extLst>
            </c:dLbl>
            <c:dLbl>
              <c:idx val="4"/>
              <c:layout>
                <c:manualLayout>
                  <c:x val="-4.6699439621740384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961-4565-83EF-163063738432}"/>
                </c:ext>
              </c:extLst>
            </c:dLbl>
            <c:dLbl>
              <c:idx val="5"/>
              <c:layout>
                <c:manualLayout>
                  <c:x val="-0.25807033268060381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4961-4565-83EF-163063738432}"/>
                </c:ext>
              </c:extLst>
            </c:dLbl>
            <c:dLbl>
              <c:idx val="6"/>
              <c:layout>
                <c:manualLayout>
                  <c:x val="-0.31283191999972043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4961-4565-83EF-163063738432}"/>
                </c:ext>
              </c:extLst>
            </c:dLbl>
            <c:dLbl>
              <c:idx val="7"/>
              <c:layout>
                <c:manualLayout>
                  <c:x val="-0.37873679808574595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4961-4565-83EF-1630637384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'Chart Data (Not In Agenda)'!$A$16:$A$21</c:f>
              <c:strCache>
                <c:ptCount val="6"/>
                <c:pt idx="0">
                  <c:v>UVU</c:v>
                </c:pt>
                <c:pt idx="1">
                  <c:v>DSU</c:v>
                </c:pt>
                <c:pt idx="2">
                  <c:v>SUU</c:v>
                </c:pt>
                <c:pt idx="3">
                  <c:v>WSU</c:v>
                </c:pt>
                <c:pt idx="4">
                  <c:v>USU</c:v>
                </c:pt>
                <c:pt idx="5">
                  <c:v>UU</c:v>
                </c:pt>
              </c:strCache>
            </c:strRef>
          </c:cat>
          <c:val>
            <c:numRef>
              <c:f>'Chart Data (Not In Agenda)'!$D$16:$D$21</c:f>
              <c:numCache>
                <c:formatCode>"$"#,##0</c:formatCode>
                <c:ptCount val="6"/>
                <c:pt idx="0">
                  <c:v>6350</c:v>
                </c:pt>
                <c:pt idx="1">
                  <c:v>12795</c:v>
                </c:pt>
                <c:pt idx="2">
                  <c:v>6920</c:v>
                </c:pt>
                <c:pt idx="3">
                  <c:v>5907</c:v>
                </c:pt>
                <c:pt idx="4">
                  <c:v>7449</c:v>
                </c:pt>
                <c:pt idx="5">
                  <c:v>8112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4961-4565-83EF-1630637384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34768128"/>
        <c:axId val="134769664"/>
      </c:barChart>
      <c:catAx>
        <c:axId val="13476812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134769664"/>
        <c:crosses val="autoZero"/>
        <c:auto val="1"/>
        <c:lblAlgn val="ctr"/>
        <c:lblOffset val="100"/>
        <c:noMultiLvlLbl val="0"/>
      </c:catAx>
      <c:valAx>
        <c:axId val="134769664"/>
        <c:scaling>
          <c:orientation val="minMax"/>
          <c:max val="15000"/>
          <c:min val="0"/>
        </c:scaling>
        <c:delete val="0"/>
        <c:axPos val="b"/>
        <c:majorGridlines/>
        <c:numFmt formatCode="&quot;$&quot;#,##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/>
            </a:pPr>
            <a:endParaRPr lang="en-US"/>
          </a:p>
        </c:txPr>
        <c:crossAx val="1347681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 b="1"/>
              <a:t>Utah System of Higher Education</a:t>
            </a:r>
          </a:p>
          <a:p>
            <a:pPr>
              <a:defRPr sz="1600"/>
            </a:pPr>
            <a:r>
              <a:rPr lang="en-US" sz="1600" b="1">
                <a:solidFill>
                  <a:srgbClr val="FF0000"/>
                </a:solidFill>
              </a:rPr>
              <a:t>TUITION &amp; FEE COMPARISONS</a:t>
            </a:r>
          </a:p>
          <a:p>
            <a:pPr>
              <a:defRPr sz="1600"/>
            </a:pPr>
            <a:r>
              <a:rPr lang="en-US" sz="1600" b="1"/>
              <a:t>Non-Resident</a:t>
            </a:r>
            <a:r>
              <a:rPr lang="en-US" sz="1600" b="1" baseline="0"/>
              <a:t> Undergraduate </a:t>
            </a:r>
            <a:r>
              <a:rPr lang="en-US" sz="1600" baseline="0"/>
              <a:t>2018-19</a:t>
            </a:r>
            <a:endParaRPr lang="en-US" sz="1600"/>
          </a:p>
        </c:rich>
      </c:tx>
      <c:layout>
        <c:manualLayout>
          <c:xMode val="edge"/>
          <c:yMode val="edge"/>
          <c:x val="0.27057777683525475"/>
          <c:y val="3.692469794191812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968187197131128"/>
          <c:y val="0.10015179830547608"/>
          <c:w val="0.82461846919256943"/>
          <c:h val="0.86090698881801908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'Chart Data (Not In Agenda)'!$G$4</c:f>
              <c:strCache>
                <c:ptCount val="1"/>
                <c:pt idx="0">
                  <c:v>WICHE Avg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0.10215485899750615"/>
                  <c:y val="-1.1769829208816687E-7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0BA-4D18-AA0E-044C0F3B4747}"/>
                </c:ext>
              </c:extLst>
            </c:dLbl>
            <c:dLbl>
              <c:idx val="1"/>
              <c:layout>
                <c:manualLayout>
                  <c:x val="-0.10215471216273521"/>
                  <c:y val="1.0961507651748353E-16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BA-4D18-AA0E-044C0F3B4747}"/>
                </c:ext>
              </c:extLst>
            </c:dLbl>
            <c:dLbl>
              <c:idx val="2"/>
              <c:layout>
                <c:manualLayout>
                  <c:x val="-0.1037162999517211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0BA-4D18-AA0E-044C0F3B4747}"/>
                </c:ext>
              </c:extLst>
            </c:dLbl>
            <c:dLbl>
              <c:idx val="3"/>
              <c:layout>
                <c:manualLayout>
                  <c:x val="-0.10029005740652253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0BA-4D18-AA0E-044C0F3B4747}"/>
                </c:ext>
              </c:extLst>
            </c:dLbl>
            <c:dLbl>
              <c:idx val="4"/>
              <c:layout>
                <c:manualLayout>
                  <c:x val="-0.10401951375371958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0BA-4D18-AA0E-044C0F3B4747}"/>
                </c:ext>
              </c:extLst>
            </c:dLbl>
            <c:dLbl>
              <c:idx val="5"/>
              <c:layout>
                <c:manualLayout>
                  <c:x val="-0.1037162999517211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0BA-4D18-AA0E-044C0F3B4747}"/>
                </c:ext>
              </c:extLst>
            </c:dLbl>
            <c:dLbl>
              <c:idx val="6"/>
              <c:layout>
                <c:manualLayout>
                  <c:x val="-0.10215471216273521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0BA-4D18-AA0E-044C0F3B4747}"/>
                </c:ext>
              </c:extLst>
            </c:dLbl>
            <c:dLbl>
              <c:idx val="7"/>
              <c:layout>
                <c:manualLayout>
                  <c:x val="-9.9986696769752567E-2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0BA-4D18-AA0E-044C0F3B474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'Chart Data (Not In Agenda)'!$F$5:$F$12</c:f>
              <c:strCache>
                <c:ptCount val="8"/>
                <c:pt idx="0">
                  <c:v>SLCC</c:v>
                </c:pt>
                <c:pt idx="1">
                  <c:v>UVU</c:v>
                </c:pt>
                <c:pt idx="2">
                  <c:v>DSU</c:v>
                </c:pt>
                <c:pt idx="3">
                  <c:v>SNOW</c:v>
                </c:pt>
                <c:pt idx="4">
                  <c:v>SUU</c:v>
                </c:pt>
                <c:pt idx="5">
                  <c:v>WSU</c:v>
                </c:pt>
                <c:pt idx="6">
                  <c:v>USU</c:v>
                </c:pt>
                <c:pt idx="7">
                  <c:v>UU</c:v>
                </c:pt>
              </c:strCache>
            </c:strRef>
          </c:cat>
          <c:val>
            <c:numRef>
              <c:f>'Chart Data (Not In Agenda)'!$G$5:$G$12</c:f>
              <c:numCache>
                <c:formatCode>"$"#,##0</c:formatCode>
                <c:ptCount val="8"/>
                <c:pt idx="0">
                  <c:v>9383.6378740157488</c:v>
                </c:pt>
                <c:pt idx="1">
                  <c:v>20160.900000000001</c:v>
                </c:pt>
                <c:pt idx="2">
                  <c:v>18503</c:v>
                </c:pt>
                <c:pt idx="3">
                  <c:v>9383.6378740157488</c:v>
                </c:pt>
                <c:pt idx="4">
                  <c:v>16998.2</c:v>
                </c:pt>
                <c:pt idx="5">
                  <c:v>20160.900000000001</c:v>
                </c:pt>
                <c:pt idx="6">
                  <c:v>23131.4</c:v>
                </c:pt>
                <c:pt idx="7">
                  <c:v>35833.523809523809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0BA-4D18-AA0E-044C0F3B4747}"/>
            </c:ext>
          </c:extLst>
        </c:ser>
        <c:ser>
          <c:idx val="2"/>
          <c:order val="1"/>
          <c:tx>
            <c:strRef>
              <c:f>'Chart Data (Not In Agenda)'!$H$4</c:f>
              <c:strCache>
                <c:ptCount val="1"/>
                <c:pt idx="0">
                  <c:v>Rocky Mtn Avg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0.13094548671027953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0BA-4D18-AA0E-044C0F3B4747}"/>
                </c:ext>
              </c:extLst>
            </c:dLbl>
            <c:dLbl>
              <c:idx val="1"/>
              <c:layout>
                <c:manualLayout>
                  <c:x val="-0.13311350210326126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0BA-4D18-AA0E-044C0F3B4747}"/>
                </c:ext>
              </c:extLst>
            </c:dLbl>
            <c:dLbl>
              <c:idx val="2"/>
              <c:layout>
                <c:manualLayout>
                  <c:x val="-0.13311350210326126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0BA-4D18-AA0E-044C0F3B4747}"/>
                </c:ext>
              </c:extLst>
            </c:dLbl>
            <c:dLbl>
              <c:idx val="3"/>
              <c:layout>
                <c:manualLayout>
                  <c:x val="-0.13281028830126332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0BA-4D18-AA0E-044C0F3B4747}"/>
                </c:ext>
              </c:extLst>
            </c:dLbl>
            <c:dLbl>
              <c:idx val="4"/>
              <c:layout>
                <c:manualLayout>
                  <c:x val="-0.12938389892129301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0BA-4D18-AA0E-044C0F3B4747}"/>
                </c:ext>
              </c:extLst>
            </c:dLbl>
            <c:dLbl>
              <c:idx val="5"/>
              <c:layout>
                <c:manualLayout>
                  <c:x val="-0.13281028830126332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0BA-4D18-AA0E-044C0F3B4747}"/>
                </c:ext>
              </c:extLst>
            </c:dLbl>
            <c:dLbl>
              <c:idx val="6"/>
              <c:layout>
                <c:manualLayout>
                  <c:x val="-0.13155191431427568"/>
                  <c:y val="-1.1769829222518568E-7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0BA-4D18-AA0E-044C0F3B4747}"/>
                </c:ext>
              </c:extLst>
            </c:dLbl>
            <c:dLbl>
              <c:idx val="7"/>
              <c:layout>
                <c:manualLayout>
                  <c:x val="-0.13281028830126332"/>
                  <c:y val="1.3701884564685482E-17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0BA-4D18-AA0E-044C0F3B474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'Chart Data (Not In Agenda)'!$F$5:$F$12</c:f>
              <c:strCache>
                <c:ptCount val="8"/>
                <c:pt idx="0">
                  <c:v>SLCC</c:v>
                </c:pt>
                <c:pt idx="1">
                  <c:v>UVU</c:v>
                </c:pt>
                <c:pt idx="2">
                  <c:v>DSU</c:v>
                </c:pt>
                <c:pt idx="3">
                  <c:v>SNOW</c:v>
                </c:pt>
                <c:pt idx="4">
                  <c:v>SUU</c:v>
                </c:pt>
                <c:pt idx="5">
                  <c:v>WSU</c:v>
                </c:pt>
                <c:pt idx="6">
                  <c:v>USU</c:v>
                </c:pt>
                <c:pt idx="7">
                  <c:v>UU</c:v>
                </c:pt>
              </c:strCache>
            </c:strRef>
          </c:cat>
          <c:val>
            <c:numRef>
              <c:f>'Chart Data (Not In Agenda)'!$H$5:$H$12</c:f>
              <c:numCache>
                <c:formatCode>"$"#,##0</c:formatCode>
                <c:ptCount val="8"/>
                <c:pt idx="0">
                  <c:v>9453.4233333333341</c:v>
                </c:pt>
                <c:pt idx="1">
                  <c:v>20461.666666666668</c:v>
                </c:pt>
                <c:pt idx="2">
                  <c:v>18649.363636363636</c:v>
                </c:pt>
                <c:pt idx="3">
                  <c:v>9453.4233333333341</c:v>
                </c:pt>
                <c:pt idx="4">
                  <c:v>13780</c:v>
                </c:pt>
                <c:pt idx="5">
                  <c:v>20461.666666666668</c:v>
                </c:pt>
                <c:pt idx="6">
                  <c:v>24660.777777777777</c:v>
                </c:pt>
                <c:pt idx="7">
                  <c:v>30049.875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A0BA-4D18-AA0E-044C0F3B4747}"/>
            </c:ext>
          </c:extLst>
        </c:ser>
        <c:ser>
          <c:idx val="3"/>
          <c:order val="2"/>
          <c:tx>
            <c:strRef>
              <c:f>'Chart Data (Not In Agenda)'!$I$4</c:f>
              <c:strCache>
                <c:ptCount val="1"/>
                <c:pt idx="0">
                  <c:v>USHE Inst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6.1335586656389704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0BA-4D18-AA0E-044C0F3B4747}"/>
                </c:ext>
              </c:extLst>
            </c:dLbl>
            <c:dLbl>
              <c:idx val="1"/>
              <c:layout>
                <c:manualLayout>
                  <c:x val="-6.4184934244205835E-2"/>
                  <c:y val="1.2308232647306042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0BA-4D18-AA0E-044C0F3B4747}"/>
                </c:ext>
              </c:extLst>
            </c:dLbl>
            <c:dLbl>
              <c:idx val="2"/>
              <c:layout>
                <c:manualLayout>
                  <c:x val="-5.7497941306215453E-2"/>
                  <c:y val="-9.6915217605064047E-8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0BA-4D18-AA0E-044C0F3B4747}"/>
                </c:ext>
              </c:extLst>
            </c:dLbl>
            <c:dLbl>
              <c:idx val="3"/>
              <c:layout>
                <c:manualLayout>
                  <c:x val="-7.9969630660745417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0BA-4D18-AA0E-044C0F3B4747}"/>
                </c:ext>
              </c:extLst>
            </c:dLbl>
            <c:dLbl>
              <c:idx val="4"/>
              <c:layout>
                <c:manualLayout>
                  <c:x val="-6.0710454796292751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0BA-4D18-AA0E-044C0F3B4747}"/>
                </c:ext>
              </c:extLst>
            </c:dLbl>
            <c:dLbl>
              <c:idx val="5"/>
              <c:layout>
                <c:manualLayout>
                  <c:x val="-6.597752986996663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0BA-4D18-AA0E-044C0F3B4747}"/>
                </c:ext>
              </c:extLst>
            </c:dLbl>
            <c:dLbl>
              <c:idx val="6"/>
              <c:layout>
                <c:manualLayout>
                  <c:x val="-5.9348699611900688E-2"/>
                  <c:y val="-1.2308232647306042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A0BA-4D18-AA0E-044C0F3B4747}"/>
                </c:ext>
              </c:extLst>
            </c:dLbl>
            <c:dLbl>
              <c:idx val="7"/>
              <c:layout>
                <c:manualLayout>
                  <c:x val="-4.8020543120922077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A0BA-4D18-AA0E-044C0F3B47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'Chart Data (Not In Agenda)'!$F$5:$F$12</c:f>
              <c:strCache>
                <c:ptCount val="8"/>
                <c:pt idx="0">
                  <c:v>SLCC</c:v>
                </c:pt>
                <c:pt idx="1">
                  <c:v>UVU</c:v>
                </c:pt>
                <c:pt idx="2">
                  <c:v>DSU</c:v>
                </c:pt>
                <c:pt idx="3">
                  <c:v>SNOW</c:v>
                </c:pt>
                <c:pt idx="4">
                  <c:v>SUU</c:v>
                </c:pt>
                <c:pt idx="5">
                  <c:v>WSU</c:v>
                </c:pt>
                <c:pt idx="6">
                  <c:v>USU</c:v>
                </c:pt>
                <c:pt idx="7">
                  <c:v>UU</c:v>
                </c:pt>
              </c:strCache>
            </c:strRef>
          </c:cat>
          <c:val>
            <c:numRef>
              <c:f>'Chart Data (Not In Agenda)'!$I$5:$I$12</c:f>
              <c:numCache>
                <c:formatCode>"$"#,##0</c:formatCode>
                <c:ptCount val="8"/>
                <c:pt idx="0">
                  <c:v>12206</c:v>
                </c:pt>
                <c:pt idx="1">
                  <c:v>16296</c:v>
                </c:pt>
                <c:pt idx="2">
                  <c:v>15051</c:v>
                </c:pt>
                <c:pt idx="3">
                  <c:v>12562</c:v>
                </c:pt>
                <c:pt idx="4">
                  <c:v>20632</c:v>
                </c:pt>
                <c:pt idx="5">
                  <c:v>15646</c:v>
                </c:pt>
                <c:pt idx="6">
                  <c:v>21505</c:v>
                </c:pt>
                <c:pt idx="7">
                  <c:v>29115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A0BA-4D18-AA0E-044C0F3B47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35177728"/>
        <c:axId val="135179264"/>
      </c:barChart>
      <c:catAx>
        <c:axId val="13517772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135179264"/>
        <c:crosses val="autoZero"/>
        <c:auto val="1"/>
        <c:lblAlgn val="ctr"/>
        <c:lblOffset val="100"/>
        <c:noMultiLvlLbl val="0"/>
      </c:catAx>
      <c:valAx>
        <c:axId val="135179264"/>
        <c:scaling>
          <c:orientation val="minMax"/>
          <c:min val="0"/>
        </c:scaling>
        <c:delete val="0"/>
        <c:axPos val="b"/>
        <c:majorGridlines/>
        <c:numFmt formatCode="&quot;$&quot;#,##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/>
            </a:pPr>
            <a:endParaRPr lang="en-US"/>
          </a:p>
        </c:txPr>
        <c:crossAx val="135177728"/>
        <c:crosses val="autoZero"/>
        <c:crossBetween val="between"/>
        <c:majorUnit val="5000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/>
            </a:pPr>
            <a:r>
              <a:rPr lang="en-US" sz="1600" b="1"/>
              <a:t>Utah System of Higher Education</a:t>
            </a:r>
          </a:p>
          <a:p>
            <a:pPr>
              <a:defRPr sz="1800" b="1"/>
            </a:pPr>
            <a:r>
              <a:rPr lang="en-US" sz="1600" b="1">
                <a:solidFill>
                  <a:srgbClr val="FF0000"/>
                </a:solidFill>
              </a:rPr>
              <a:t>TUITION &amp; FEE COMPARISONS</a:t>
            </a:r>
          </a:p>
          <a:p>
            <a:pPr>
              <a:defRPr sz="1800" b="1"/>
            </a:pPr>
            <a:r>
              <a:rPr lang="en-US" sz="1600" b="1"/>
              <a:t>Non-Resident</a:t>
            </a:r>
            <a:r>
              <a:rPr lang="en-US" sz="1600" b="1" baseline="0"/>
              <a:t> Graduate 2018-19</a:t>
            </a:r>
            <a:endParaRPr lang="en-US" sz="1600" b="1"/>
          </a:p>
        </c:rich>
      </c:tx>
      <c:layout>
        <c:manualLayout>
          <c:xMode val="edge"/>
          <c:yMode val="edge"/>
          <c:x val="0.29868239206380098"/>
          <c:y val="9.180328026854749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511085976131437E-2"/>
          <c:y val="0.13150952422889717"/>
          <c:w val="0.86651763961035044"/>
          <c:h val="0.8264497539081786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'Chart Data (Not In Agenda)'!$G$15</c:f>
              <c:strCache>
                <c:ptCount val="1"/>
                <c:pt idx="0">
                  <c:v>WICHE Avg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0.10215485899750615"/>
                  <c:y val="-1.1769829208816747E-7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9E5-496C-987F-3CE612137B0C}"/>
                </c:ext>
              </c:extLst>
            </c:dLbl>
            <c:dLbl>
              <c:idx val="1"/>
              <c:layout>
                <c:manualLayout>
                  <c:x val="-0.10215471216273521"/>
                  <c:y val="1.0961507651748423E-16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9E5-496C-987F-3CE612137B0C}"/>
                </c:ext>
              </c:extLst>
            </c:dLbl>
            <c:dLbl>
              <c:idx val="2"/>
              <c:layout>
                <c:manualLayout>
                  <c:x val="-0.10371629995172119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9E5-496C-987F-3CE612137B0C}"/>
                </c:ext>
              </c:extLst>
            </c:dLbl>
            <c:dLbl>
              <c:idx val="3"/>
              <c:layout>
                <c:manualLayout>
                  <c:x val="-0.10029005740652268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9E5-496C-987F-3CE612137B0C}"/>
                </c:ext>
              </c:extLst>
            </c:dLbl>
            <c:dLbl>
              <c:idx val="4"/>
              <c:layout>
                <c:manualLayout>
                  <c:x val="-0.10401951375371959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9E5-496C-987F-3CE612137B0C}"/>
                </c:ext>
              </c:extLst>
            </c:dLbl>
            <c:dLbl>
              <c:idx val="5"/>
              <c:layout>
                <c:manualLayout>
                  <c:x val="-0.10371629995172119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9E5-496C-987F-3CE612137B0C}"/>
                </c:ext>
              </c:extLst>
            </c:dLbl>
            <c:dLbl>
              <c:idx val="6"/>
              <c:layout>
                <c:manualLayout>
                  <c:x val="-0.10215471216273521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9E5-496C-987F-3CE612137B0C}"/>
                </c:ext>
              </c:extLst>
            </c:dLbl>
            <c:dLbl>
              <c:idx val="7"/>
              <c:layout>
                <c:manualLayout>
                  <c:x val="-9.9986696769752567E-2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9E5-496C-987F-3CE612137B0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'Chart Data (Not In Agenda)'!$F$16:$F$21</c:f>
              <c:strCache>
                <c:ptCount val="6"/>
                <c:pt idx="0">
                  <c:v>UVU</c:v>
                </c:pt>
                <c:pt idx="1">
                  <c:v>DSU</c:v>
                </c:pt>
                <c:pt idx="2">
                  <c:v>SUU</c:v>
                </c:pt>
                <c:pt idx="3">
                  <c:v>WSU</c:v>
                </c:pt>
                <c:pt idx="4">
                  <c:v>USU</c:v>
                </c:pt>
                <c:pt idx="5">
                  <c:v>UU</c:v>
                </c:pt>
              </c:strCache>
            </c:strRef>
          </c:cat>
          <c:val>
            <c:numRef>
              <c:f>'Chart Data (Not In Agenda)'!$G$16:$G$21</c:f>
              <c:numCache>
                <c:formatCode>"$"#,##0</c:formatCode>
                <c:ptCount val="6"/>
                <c:pt idx="0">
                  <c:v>20464.099999999999</c:v>
                </c:pt>
                <c:pt idx="1">
                  <c:v>20240.642857142859</c:v>
                </c:pt>
                <c:pt idx="2">
                  <c:v>18069</c:v>
                </c:pt>
                <c:pt idx="3">
                  <c:v>20464.099999999999</c:v>
                </c:pt>
                <c:pt idx="4">
                  <c:v>23205.866666666665</c:v>
                </c:pt>
                <c:pt idx="5">
                  <c:v>28934.285714285714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9E5-496C-987F-3CE612137B0C}"/>
            </c:ext>
          </c:extLst>
        </c:ser>
        <c:ser>
          <c:idx val="2"/>
          <c:order val="1"/>
          <c:tx>
            <c:strRef>
              <c:f>'Chart Data (Not In Agenda)'!$H$15</c:f>
              <c:strCache>
                <c:ptCount val="1"/>
                <c:pt idx="0">
                  <c:v>Rocky Mtn Avg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0.13094548671027986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9E5-496C-987F-3CE612137B0C}"/>
                </c:ext>
              </c:extLst>
            </c:dLbl>
            <c:dLbl>
              <c:idx val="1"/>
              <c:layout>
                <c:manualLayout>
                  <c:x val="-0.13311350210326126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9E5-496C-987F-3CE612137B0C}"/>
                </c:ext>
              </c:extLst>
            </c:dLbl>
            <c:dLbl>
              <c:idx val="2"/>
              <c:layout>
                <c:manualLayout>
                  <c:x val="-0.13311350210326126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9E5-496C-987F-3CE612137B0C}"/>
                </c:ext>
              </c:extLst>
            </c:dLbl>
            <c:dLbl>
              <c:idx val="3"/>
              <c:layout>
                <c:manualLayout>
                  <c:x val="-0.13281028830126354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9E5-496C-987F-3CE612137B0C}"/>
                </c:ext>
              </c:extLst>
            </c:dLbl>
            <c:dLbl>
              <c:idx val="4"/>
              <c:layout>
                <c:manualLayout>
                  <c:x val="-0.12938389892129301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9E5-496C-987F-3CE612137B0C}"/>
                </c:ext>
              </c:extLst>
            </c:dLbl>
            <c:dLbl>
              <c:idx val="5"/>
              <c:layout>
                <c:manualLayout>
                  <c:x val="-0.13281028830126354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9E5-496C-987F-3CE612137B0C}"/>
                </c:ext>
              </c:extLst>
            </c:dLbl>
            <c:dLbl>
              <c:idx val="6"/>
              <c:layout>
                <c:manualLayout>
                  <c:x val="-0.13155191431427568"/>
                  <c:y val="-1.1769829222518626E-7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9E5-496C-987F-3CE612137B0C}"/>
                </c:ext>
              </c:extLst>
            </c:dLbl>
            <c:dLbl>
              <c:idx val="7"/>
              <c:layout>
                <c:manualLayout>
                  <c:x val="-0.13281028830126354"/>
                  <c:y val="1.3701884564685576E-17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9E5-496C-987F-3CE612137B0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'Chart Data (Not In Agenda)'!$F$16:$F$21</c:f>
              <c:strCache>
                <c:ptCount val="6"/>
                <c:pt idx="0">
                  <c:v>UVU</c:v>
                </c:pt>
                <c:pt idx="1">
                  <c:v>DSU</c:v>
                </c:pt>
                <c:pt idx="2">
                  <c:v>SUU</c:v>
                </c:pt>
                <c:pt idx="3">
                  <c:v>WSU</c:v>
                </c:pt>
                <c:pt idx="4">
                  <c:v>USU</c:v>
                </c:pt>
                <c:pt idx="5">
                  <c:v>UU</c:v>
                </c:pt>
              </c:strCache>
            </c:strRef>
          </c:cat>
          <c:val>
            <c:numRef>
              <c:f>'Chart Data (Not In Agenda)'!$H$16:$H$21</c:f>
              <c:numCache>
                <c:formatCode>"$"#,##0</c:formatCode>
                <c:ptCount val="6"/>
                <c:pt idx="0">
                  <c:v>21925.5</c:v>
                </c:pt>
                <c:pt idx="1">
                  <c:v>20610.857142857141</c:v>
                </c:pt>
                <c:pt idx="2">
                  <c:v>14979.5</c:v>
                </c:pt>
                <c:pt idx="3">
                  <c:v>21925.5</c:v>
                </c:pt>
                <c:pt idx="4">
                  <c:v>24589.111111111109</c:v>
                </c:pt>
                <c:pt idx="5">
                  <c:v>28910.625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D9E5-496C-987F-3CE612137B0C}"/>
            </c:ext>
          </c:extLst>
        </c:ser>
        <c:ser>
          <c:idx val="3"/>
          <c:order val="2"/>
          <c:tx>
            <c:strRef>
              <c:f>'Chart Data (Not In Agenda)'!$I$15</c:f>
              <c:strCache>
                <c:ptCount val="1"/>
                <c:pt idx="0">
                  <c:v>USHE Inst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6.052798454989277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9E5-496C-987F-3CE612137B0C}"/>
                </c:ext>
              </c:extLst>
            </c:dLbl>
            <c:dLbl>
              <c:idx val="1"/>
              <c:layout>
                <c:manualLayout>
                  <c:x val="-5.8535647230248462E-2"/>
                  <c:y val="1.2185018066090409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9E5-496C-987F-3CE612137B0C}"/>
                </c:ext>
              </c:extLst>
            </c:dLbl>
            <c:dLbl>
              <c:idx val="2"/>
              <c:layout>
                <c:manualLayout>
                  <c:x val="-6.2337533330753918E-2"/>
                  <c:y val="1.2185018066090409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9E5-496C-987F-3CE612137B0C}"/>
                </c:ext>
              </c:extLst>
            </c:dLbl>
            <c:dLbl>
              <c:idx val="3"/>
              <c:layout>
                <c:manualLayout>
                  <c:x val="-5.8918405852929595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9E5-496C-987F-3CE612137B0C}"/>
                </c:ext>
              </c:extLst>
            </c:dLbl>
            <c:dLbl>
              <c:idx val="4"/>
              <c:layout>
                <c:manualLayout>
                  <c:x val="-4.6699439621740384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9E5-496C-987F-3CE612137B0C}"/>
                </c:ext>
              </c:extLst>
            </c:dLbl>
            <c:dLbl>
              <c:idx val="5"/>
              <c:layout>
                <c:manualLayout>
                  <c:x val="-0.25807033268060381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9E5-496C-987F-3CE612137B0C}"/>
                </c:ext>
              </c:extLst>
            </c:dLbl>
            <c:dLbl>
              <c:idx val="6"/>
              <c:layout>
                <c:manualLayout>
                  <c:x val="-0.31283191999972043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9E5-496C-987F-3CE612137B0C}"/>
                </c:ext>
              </c:extLst>
            </c:dLbl>
            <c:dLbl>
              <c:idx val="7"/>
              <c:layout>
                <c:manualLayout>
                  <c:x val="-0.37873679808574595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D9E5-496C-987F-3CE612137B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'Chart Data (Not In Agenda)'!$F$16:$F$21</c:f>
              <c:strCache>
                <c:ptCount val="6"/>
                <c:pt idx="0">
                  <c:v>UVU</c:v>
                </c:pt>
                <c:pt idx="1">
                  <c:v>DSU</c:v>
                </c:pt>
                <c:pt idx="2">
                  <c:v>SUU</c:v>
                </c:pt>
                <c:pt idx="3">
                  <c:v>WSU</c:v>
                </c:pt>
                <c:pt idx="4">
                  <c:v>USU</c:v>
                </c:pt>
                <c:pt idx="5">
                  <c:v>UU</c:v>
                </c:pt>
              </c:strCache>
            </c:strRef>
          </c:cat>
          <c:val>
            <c:numRef>
              <c:f>'Chart Data (Not In Agenda)'!$I$16:$I$21</c:f>
              <c:numCache>
                <c:formatCode>"$"#,##0</c:formatCode>
                <c:ptCount val="6"/>
                <c:pt idx="0">
                  <c:v>17950</c:v>
                </c:pt>
                <c:pt idx="1">
                  <c:v>30795</c:v>
                </c:pt>
                <c:pt idx="2">
                  <c:v>20974</c:v>
                </c:pt>
                <c:pt idx="3">
                  <c:v>15790</c:v>
                </c:pt>
                <c:pt idx="4">
                  <c:v>23365</c:v>
                </c:pt>
                <c:pt idx="5">
                  <c:v>25790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D9E5-496C-987F-3CE612137B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42861824"/>
        <c:axId val="142863360"/>
      </c:barChart>
      <c:catAx>
        <c:axId val="14286182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142863360"/>
        <c:crosses val="autoZero"/>
        <c:auto val="1"/>
        <c:lblAlgn val="ctr"/>
        <c:lblOffset val="100"/>
        <c:noMultiLvlLbl val="0"/>
      </c:catAx>
      <c:valAx>
        <c:axId val="142863360"/>
        <c:scaling>
          <c:orientation val="minMax"/>
          <c:max val="35000"/>
          <c:min val="0"/>
        </c:scaling>
        <c:delete val="0"/>
        <c:axPos val="b"/>
        <c:majorGridlines/>
        <c:numFmt formatCode="&quot;$&quot;#,##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/>
            </a:pPr>
            <a:endParaRPr lang="en-US"/>
          </a:p>
        </c:txPr>
        <c:crossAx val="1428618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 b="1"/>
              <a:t>Utah System of Higher Education</a:t>
            </a:r>
          </a:p>
          <a:p>
            <a:pPr>
              <a:defRPr sz="1600"/>
            </a:pPr>
            <a:r>
              <a:rPr lang="en-US" sz="1600" b="1" baseline="0"/>
              <a:t> </a:t>
            </a:r>
            <a:r>
              <a:rPr lang="en-US" sz="1600" b="1" baseline="0">
                <a:solidFill>
                  <a:srgbClr val="FF0000"/>
                </a:solidFill>
              </a:rPr>
              <a:t>TUITION &amp; FEE COMPARISONS </a:t>
            </a:r>
          </a:p>
          <a:p>
            <a:pPr>
              <a:defRPr sz="1600"/>
            </a:pPr>
            <a:r>
              <a:rPr lang="en-US" sz="1600" b="1" baseline="0"/>
              <a:t>Utah Resident Undergraduate </a:t>
            </a:r>
            <a:r>
              <a:rPr lang="en-US" sz="1600" baseline="0"/>
              <a:t>2018-18</a:t>
            </a:r>
            <a:endParaRPr lang="en-US" sz="16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958356144902728"/>
          <c:y val="0.10015179830547608"/>
          <c:w val="0.81471677971485257"/>
          <c:h val="0.86090698881801908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'Chart Data (Not In Agenda)'!$B$4</c:f>
              <c:strCache>
                <c:ptCount val="1"/>
                <c:pt idx="0">
                  <c:v>WICHE Avg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0.10215485899750615"/>
                  <c:y val="-1.1769829208816765E-7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6EF-4E50-948D-3379E3F84F91}"/>
                </c:ext>
              </c:extLst>
            </c:dLbl>
            <c:dLbl>
              <c:idx val="1"/>
              <c:layout>
                <c:manualLayout>
                  <c:x val="-0.10215471216273521"/>
                  <c:y val="1.0961507651748446E-16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6EF-4E50-948D-3379E3F84F91}"/>
                </c:ext>
              </c:extLst>
            </c:dLbl>
            <c:dLbl>
              <c:idx val="2"/>
              <c:layout>
                <c:manualLayout>
                  <c:x val="-0.10371629995172121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6EF-4E50-948D-3379E3F84F91}"/>
                </c:ext>
              </c:extLst>
            </c:dLbl>
            <c:dLbl>
              <c:idx val="3"/>
              <c:layout>
                <c:manualLayout>
                  <c:x val="-0.10029005740652273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6EF-4E50-948D-3379E3F84F91}"/>
                </c:ext>
              </c:extLst>
            </c:dLbl>
            <c:dLbl>
              <c:idx val="4"/>
              <c:layout>
                <c:manualLayout>
                  <c:x val="-0.10401951375371959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6EF-4E50-948D-3379E3F84F91}"/>
                </c:ext>
              </c:extLst>
            </c:dLbl>
            <c:dLbl>
              <c:idx val="5"/>
              <c:layout>
                <c:manualLayout>
                  <c:x val="-0.10371629995172121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6EF-4E50-948D-3379E3F84F91}"/>
                </c:ext>
              </c:extLst>
            </c:dLbl>
            <c:dLbl>
              <c:idx val="6"/>
              <c:layout>
                <c:manualLayout>
                  <c:x val="-0.10215471216273521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6EF-4E50-948D-3379E3F84F91}"/>
                </c:ext>
              </c:extLst>
            </c:dLbl>
            <c:dLbl>
              <c:idx val="7"/>
              <c:layout>
                <c:manualLayout>
                  <c:x val="-9.9986696769752567E-2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6EF-4E50-948D-3379E3F84F9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'Chart Data (Not In Agenda)'!$A$5:$A$12</c:f>
              <c:strCache>
                <c:ptCount val="8"/>
                <c:pt idx="0">
                  <c:v>SLCC</c:v>
                </c:pt>
                <c:pt idx="1">
                  <c:v>UVU</c:v>
                </c:pt>
                <c:pt idx="2">
                  <c:v>DSU</c:v>
                </c:pt>
                <c:pt idx="3">
                  <c:v>SNOW</c:v>
                </c:pt>
                <c:pt idx="4">
                  <c:v>SUU</c:v>
                </c:pt>
                <c:pt idx="5">
                  <c:v>WSU</c:v>
                </c:pt>
                <c:pt idx="6">
                  <c:v>USU</c:v>
                </c:pt>
                <c:pt idx="7">
                  <c:v>UU</c:v>
                </c:pt>
              </c:strCache>
            </c:strRef>
          </c:cat>
          <c:val>
            <c:numRef>
              <c:f>'Chart Data (Not In Agenda)'!$B$5:$B$12</c:f>
              <c:numCache>
                <c:formatCode>"$"#,##0</c:formatCode>
                <c:ptCount val="8"/>
                <c:pt idx="0">
                  <c:v>2823.6271372549022</c:v>
                </c:pt>
                <c:pt idx="1">
                  <c:v>7541.7</c:v>
                </c:pt>
                <c:pt idx="2">
                  <c:v>7644.318181818182</c:v>
                </c:pt>
                <c:pt idx="3">
                  <c:v>2823.6271372549022</c:v>
                </c:pt>
                <c:pt idx="4">
                  <c:v>7153.8</c:v>
                </c:pt>
                <c:pt idx="5">
                  <c:v>7541.7</c:v>
                </c:pt>
                <c:pt idx="6">
                  <c:v>9029.7333333333336</c:v>
                </c:pt>
                <c:pt idx="7">
                  <c:v>12073.428571428571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6EF-4E50-948D-3379E3F84F91}"/>
            </c:ext>
          </c:extLst>
        </c:ser>
        <c:ser>
          <c:idx val="2"/>
          <c:order val="1"/>
          <c:tx>
            <c:strRef>
              <c:f>'Chart Data (Not In Agenda)'!$C$4</c:f>
              <c:strCache>
                <c:ptCount val="1"/>
                <c:pt idx="0">
                  <c:v>Rocky Mtn Avg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0.13094548671027997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6EF-4E50-948D-3379E3F84F91}"/>
                </c:ext>
              </c:extLst>
            </c:dLbl>
            <c:dLbl>
              <c:idx val="1"/>
              <c:layout>
                <c:manualLayout>
                  <c:x val="-0.13311350210326126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6EF-4E50-948D-3379E3F84F91}"/>
                </c:ext>
              </c:extLst>
            </c:dLbl>
            <c:dLbl>
              <c:idx val="2"/>
              <c:layout>
                <c:manualLayout>
                  <c:x val="-0.13311350210326126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6EF-4E50-948D-3379E3F84F91}"/>
                </c:ext>
              </c:extLst>
            </c:dLbl>
            <c:dLbl>
              <c:idx val="3"/>
              <c:layout>
                <c:manualLayout>
                  <c:x val="-0.13281028830126362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6EF-4E50-948D-3379E3F84F91}"/>
                </c:ext>
              </c:extLst>
            </c:dLbl>
            <c:dLbl>
              <c:idx val="4"/>
              <c:layout>
                <c:manualLayout>
                  <c:x val="-0.12938389892129301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6EF-4E50-948D-3379E3F84F91}"/>
                </c:ext>
              </c:extLst>
            </c:dLbl>
            <c:dLbl>
              <c:idx val="5"/>
              <c:layout>
                <c:manualLayout>
                  <c:x val="-0.13281028830126362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6EF-4E50-948D-3379E3F84F91}"/>
                </c:ext>
              </c:extLst>
            </c:dLbl>
            <c:dLbl>
              <c:idx val="6"/>
              <c:layout>
                <c:manualLayout>
                  <c:x val="-0.13155191431427568"/>
                  <c:y val="-1.1769829222518646E-7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6EF-4E50-948D-3379E3F84F91}"/>
                </c:ext>
              </c:extLst>
            </c:dLbl>
            <c:dLbl>
              <c:idx val="7"/>
              <c:layout>
                <c:manualLayout>
                  <c:x val="-0.13281028830126362"/>
                  <c:y val="1.3701884564685608E-17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6EF-4E50-948D-3379E3F84F9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'Chart Data (Not In Agenda)'!$A$5:$A$12</c:f>
              <c:strCache>
                <c:ptCount val="8"/>
                <c:pt idx="0">
                  <c:v>SLCC</c:v>
                </c:pt>
                <c:pt idx="1">
                  <c:v>UVU</c:v>
                </c:pt>
                <c:pt idx="2">
                  <c:v>DSU</c:v>
                </c:pt>
                <c:pt idx="3">
                  <c:v>SNOW</c:v>
                </c:pt>
                <c:pt idx="4">
                  <c:v>SUU</c:v>
                </c:pt>
                <c:pt idx="5">
                  <c:v>WSU</c:v>
                </c:pt>
                <c:pt idx="6">
                  <c:v>USU</c:v>
                </c:pt>
                <c:pt idx="7">
                  <c:v>UU</c:v>
                </c:pt>
              </c:strCache>
            </c:strRef>
          </c:cat>
          <c:val>
            <c:numRef>
              <c:f>'Chart Data (Not In Agenda)'!$C$5:$C$12</c:f>
              <c:numCache>
                <c:formatCode>"$"#,##0</c:formatCode>
                <c:ptCount val="8"/>
                <c:pt idx="0">
                  <c:v>3146.7169230769227</c:v>
                </c:pt>
                <c:pt idx="1">
                  <c:v>7379.666666666667</c:v>
                </c:pt>
                <c:pt idx="2">
                  <c:v>7275</c:v>
                </c:pt>
                <c:pt idx="3">
                  <c:v>3146.7169230769227</c:v>
                </c:pt>
                <c:pt idx="4">
                  <c:v>6511.5</c:v>
                </c:pt>
                <c:pt idx="5">
                  <c:v>7379.666666666667</c:v>
                </c:pt>
                <c:pt idx="6">
                  <c:v>9050.8888888888887</c:v>
                </c:pt>
                <c:pt idx="7">
                  <c:v>10343.75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96EF-4E50-948D-3379E3F84F91}"/>
            </c:ext>
          </c:extLst>
        </c:ser>
        <c:ser>
          <c:idx val="3"/>
          <c:order val="2"/>
          <c:tx>
            <c:strRef>
              <c:f>'Chart Data (Not In Agenda)'!$D$4</c:f>
              <c:strCache>
                <c:ptCount val="1"/>
                <c:pt idx="0">
                  <c:v>USHE Inst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6.1335586656389704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6EF-4E50-948D-3379E3F84F91}"/>
                </c:ext>
              </c:extLst>
            </c:dLbl>
            <c:dLbl>
              <c:idx val="1"/>
              <c:layout>
                <c:manualLayout>
                  <c:x val="-6.4184934244205988E-2"/>
                  <c:y val="1.2308232647306042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6EF-4E50-948D-3379E3F84F91}"/>
                </c:ext>
              </c:extLst>
            </c:dLbl>
            <c:dLbl>
              <c:idx val="2"/>
              <c:layout>
                <c:manualLayout>
                  <c:x val="-5.7497941306215564E-2"/>
                  <c:y val="-9.6915217605064047E-8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6EF-4E50-948D-3379E3F84F91}"/>
                </c:ext>
              </c:extLst>
            </c:dLbl>
            <c:dLbl>
              <c:idx val="3"/>
              <c:layout>
                <c:manualLayout>
                  <c:x val="-7.9969630660745528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6EF-4E50-948D-3379E3F84F91}"/>
                </c:ext>
              </c:extLst>
            </c:dLbl>
            <c:dLbl>
              <c:idx val="4"/>
              <c:layout>
                <c:manualLayout>
                  <c:x val="-6.07104547962928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6EF-4E50-948D-3379E3F84F91}"/>
                </c:ext>
              </c:extLst>
            </c:dLbl>
            <c:dLbl>
              <c:idx val="5"/>
              <c:layout>
                <c:manualLayout>
                  <c:x val="-6.597752986996663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6EF-4E50-948D-3379E3F84F91}"/>
                </c:ext>
              </c:extLst>
            </c:dLbl>
            <c:dLbl>
              <c:idx val="6"/>
              <c:layout>
                <c:manualLayout>
                  <c:x val="-5.9348699611900792E-2"/>
                  <c:y val="-1.2308232647306042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6EF-4E50-948D-3379E3F84F91}"/>
                </c:ext>
              </c:extLst>
            </c:dLbl>
            <c:dLbl>
              <c:idx val="7"/>
              <c:layout>
                <c:manualLayout>
                  <c:x val="-4.8020543120922077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6EF-4E50-948D-3379E3F84F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'Chart Data (Not In Agenda)'!$A$5:$A$12</c:f>
              <c:strCache>
                <c:ptCount val="8"/>
                <c:pt idx="0">
                  <c:v>SLCC</c:v>
                </c:pt>
                <c:pt idx="1">
                  <c:v>UVU</c:v>
                </c:pt>
                <c:pt idx="2">
                  <c:v>DSU</c:v>
                </c:pt>
                <c:pt idx="3">
                  <c:v>SNOW</c:v>
                </c:pt>
                <c:pt idx="4">
                  <c:v>SUU</c:v>
                </c:pt>
                <c:pt idx="5">
                  <c:v>WSU</c:v>
                </c:pt>
                <c:pt idx="6">
                  <c:v>USU</c:v>
                </c:pt>
                <c:pt idx="7">
                  <c:v>UU</c:v>
                </c:pt>
              </c:strCache>
            </c:strRef>
          </c:cat>
          <c:val>
            <c:numRef>
              <c:f>'Chart Data (Not In Agenda)'!$D$5:$D$12</c:f>
              <c:numCache>
                <c:formatCode>"$"#,##0</c:formatCode>
                <c:ptCount val="8"/>
                <c:pt idx="0">
                  <c:v>3843</c:v>
                </c:pt>
                <c:pt idx="1">
                  <c:v>5726</c:v>
                </c:pt>
                <c:pt idx="2">
                  <c:v>5253</c:v>
                </c:pt>
                <c:pt idx="3">
                  <c:v>3742</c:v>
                </c:pt>
                <c:pt idx="4">
                  <c:v>6816</c:v>
                </c:pt>
                <c:pt idx="5">
                  <c:v>5859</c:v>
                </c:pt>
                <c:pt idx="6">
                  <c:v>7425</c:v>
                </c:pt>
                <c:pt idx="7">
                  <c:v>9122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96EF-4E50-948D-3379E3F84F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29775488"/>
        <c:axId val="129777024"/>
      </c:barChart>
      <c:catAx>
        <c:axId val="12977548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129777024"/>
        <c:crosses val="autoZero"/>
        <c:auto val="1"/>
        <c:lblAlgn val="ctr"/>
        <c:lblOffset val="100"/>
        <c:noMultiLvlLbl val="0"/>
      </c:catAx>
      <c:valAx>
        <c:axId val="129777024"/>
        <c:scaling>
          <c:orientation val="minMax"/>
          <c:max val="15000"/>
          <c:min val="0"/>
        </c:scaling>
        <c:delete val="0"/>
        <c:axPos val="b"/>
        <c:majorGridlines/>
        <c:numFmt formatCode="&quot;$&quot;#,##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/>
            </a:pPr>
            <a:endParaRPr lang="en-US"/>
          </a:p>
        </c:txPr>
        <c:crossAx val="129775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11" l="0.70000000000000062" r="0.70000000000000062" t="0.75000000000000311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 b="1"/>
              <a:t>Utah System of Higher Education</a:t>
            </a:r>
          </a:p>
          <a:p>
            <a:pPr>
              <a:defRPr sz="1600"/>
            </a:pPr>
            <a:r>
              <a:rPr lang="en-US" sz="1600" b="1">
                <a:solidFill>
                  <a:srgbClr val="FF0000"/>
                </a:solidFill>
              </a:rPr>
              <a:t>TUITION &amp; FEE COMPARISONS</a:t>
            </a:r>
          </a:p>
          <a:p>
            <a:pPr>
              <a:defRPr sz="1600"/>
            </a:pPr>
            <a:r>
              <a:rPr lang="en-US" sz="1600" b="1"/>
              <a:t>Non-Resident</a:t>
            </a:r>
            <a:r>
              <a:rPr lang="en-US" sz="1600" b="1" baseline="0"/>
              <a:t> Undergraduate </a:t>
            </a:r>
            <a:r>
              <a:rPr lang="en-US" sz="1600" baseline="0"/>
              <a:t>2018-19</a:t>
            </a:r>
            <a:endParaRPr lang="en-US" sz="1600"/>
          </a:p>
        </c:rich>
      </c:tx>
      <c:layout>
        <c:manualLayout>
          <c:xMode val="edge"/>
          <c:yMode val="edge"/>
          <c:x val="0.27057777683525475"/>
          <c:y val="3.692469794191812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968187197131128"/>
          <c:y val="0.10015179830547608"/>
          <c:w val="0.82461846919256943"/>
          <c:h val="0.86090698881801908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'Chart Data (Not In Agenda)'!$G$4</c:f>
              <c:strCache>
                <c:ptCount val="1"/>
                <c:pt idx="0">
                  <c:v>WICHE Avg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0.10215485899750615"/>
                  <c:y val="-1.1769829208816687E-7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593-4DDA-9E4B-9C10C2C10574}"/>
                </c:ext>
              </c:extLst>
            </c:dLbl>
            <c:dLbl>
              <c:idx val="1"/>
              <c:layout>
                <c:manualLayout>
                  <c:x val="-0.10215471216273521"/>
                  <c:y val="1.0961507651748353E-16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593-4DDA-9E4B-9C10C2C10574}"/>
                </c:ext>
              </c:extLst>
            </c:dLbl>
            <c:dLbl>
              <c:idx val="2"/>
              <c:layout>
                <c:manualLayout>
                  <c:x val="-0.1037162999517211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593-4DDA-9E4B-9C10C2C10574}"/>
                </c:ext>
              </c:extLst>
            </c:dLbl>
            <c:dLbl>
              <c:idx val="3"/>
              <c:layout>
                <c:manualLayout>
                  <c:x val="-0.10029005740652253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593-4DDA-9E4B-9C10C2C10574}"/>
                </c:ext>
              </c:extLst>
            </c:dLbl>
            <c:dLbl>
              <c:idx val="4"/>
              <c:layout>
                <c:manualLayout>
                  <c:x val="-0.10401951375371958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593-4DDA-9E4B-9C10C2C10574}"/>
                </c:ext>
              </c:extLst>
            </c:dLbl>
            <c:dLbl>
              <c:idx val="5"/>
              <c:layout>
                <c:manualLayout>
                  <c:x val="-0.1037162999517211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593-4DDA-9E4B-9C10C2C10574}"/>
                </c:ext>
              </c:extLst>
            </c:dLbl>
            <c:dLbl>
              <c:idx val="6"/>
              <c:layout>
                <c:manualLayout>
                  <c:x val="-0.10215471216273521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593-4DDA-9E4B-9C10C2C10574}"/>
                </c:ext>
              </c:extLst>
            </c:dLbl>
            <c:dLbl>
              <c:idx val="7"/>
              <c:layout>
                <c:manualLayout>
                  <c:x val="-9.9986696769752567E-2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593-4DDA-9E4B-9C10C2C1057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'Chart Data (Not In Agenda)'!$F$5:$F$12</c:f>
              <c:strCache>
                <c:ptCount val="8"/>
                <c:pt idx="0">
                  <c:v>SLCC</c:v>
                </c:pt>
                <c:pt idx="1">
                  <c:v>UVU</c:v>
                </c:pt>
                <c:pt idx="2">
                  <c:v>DSU</c:v>
                </c:pt>
                <c:pt idx="3">
                  <c:v>SNOW</c:v>
                </c:pt>
                <c:pt idx="4">
                  <c:v>SUU</c:v>
                </c:pt>
                <c:pt idx="5">
                  <c:v>WSU</c:v>
                </c:pt>
                <c:pt idx="6">
                  <c:v>USU</c:v>
                </c:pt>
                <c:pt idx="7">
                  <c:v>UU</c:v>
                </c:pt>
              </c:strCache>
            </c:strRef>
          </c:cat>
          <c:val>
            <c:numRef>
              <c:f>'Chart Data (Not In Agenda)'!$G$5:$G$12</c:f>
              <c:numCache>
                <c:formatCode>"$"#,##0</c:formatCode>
                <c:ptCount val="8"/>
                <c:pt idx="0">
                  <c:v>9383.6378740157488</c:v>
                </c:pt>
                <c:pt idx="1">
                  <c:v>20160.900000000001</c:v>
                </c:pt>
                <c:pt idx="2">
                  <c:v>18503</c:v>
                </c:pt>
                <c:pt idx="3">
                  <c:v>9383.6378740157488</c:v>
                </c:pt>
                <c:pt idx="4">
                  <c:v>16998.2</c:v>
                </c:pt>
                <c:pt idx="5">
                  <c:v>20160.900000000001</c:v>
                </c:pt>
                <c:pt idx="6">
                  <c:v>23131.4</c:v>
                </c:pt>
                <c:pt idx="7">
                  <c:v>35833.523809523809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593-4DDA-9E4B-9C10C2C10574}"/>
            </c:ext>
          </c:extLst>
        </c:ser>
        <c:ser>
          <c:idx val="2"/>
          <c:order val="1"/>
          <c:tx>
            <c:strRef>
              <c:f>'Chart Data (Not In Agenda)'!$H$4</c:f>
              <c:strCache>
                <c:ptCount val="1"/>
                <c:pt idx="0">
                  <c:v>Rocky Mtn Avg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0.13094548671027953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593-4DDA-9E4B-9C10C2C10574}"/>
                </c:ext>
              </c:extLst>
            </c:dLbl>
            <c:dLbl>
              <c:idx val="1"/>
              <c:layout>
                <c:manualLayout>
                  <c:x val="-0.13311350210326126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593-4DDA-9E4B-9C10C2C10574}"/>
                </c:ext>
              </c:extLst>
            </c:dLbl>
            <c:dLbl>
              <c:idx val="2"/>
              <c:layout>
                <c:manualLayout>
                  <c:x val="-0.13311350210326126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593-4DDA-9E4B-9C10C2C10574}"/>
                </c:ext>
              </c:extLst>
            </c:dLbl>
            <c:dLbl>
              <c:idx val="3"/>
              <c:layout>
                <c:manualLayout>
                  <c:x val="-0.13281028830126332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593-4DDA-9E4B-9C10C2C10574}"/>
                </c:ext>
              </c:extLst>
            </c:dLbl>
            <c:dLbl>
              <c:idx val="4"/>
              <c:layout>
                <c:manualLayout>
                  <c:x val="-0.12938389892129301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593-4DDA-9E4B-9C10C2C10574}"/>
                </c:ext>
              </c:extLst>
            </c:dLbl>
            <c:dLbl>
              <c:idx val="5"/>
              <c:layout>
                <c:manualLayout>
                  <c:x val="-0.13281028830126332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593-4DDA-9E4B-9C10C2C10574}"/>
                </c:ext>
              </c:extLst>
            </c:dLbl>
            <c:dLbl>
              <c:idx val="6"/>
              <c:layout>
                <c:manualLayout>
                  <c:x val="-0.13155191431427568"/>
                  <c:y val="-1.1769829222518568E-7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593-4DDA-9E4B-9C10C2C10574}"/>
                </c:ext>
              </c:extLst>
            </c:dLbl>
            <c:dLbl>
              <c:idx val="7"/>
              <c:layout>
                <c:manualLayout>
                  <c:x val="-0.13281028830126332"/>
                  <c:y val="1.3701884564685482E-17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593-4DDA-9E4B-9C10C2C1057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'Chart Data (Not In Agenda)'!$F$5:$F$12</c:f>
              <c:strCache>
                <c:ptCount val="8"/>
                <c:pt idx="0">
                  <c:v>SLCC</c:v>
                </c:pt>
                <c:pt idx="1">
                  <c:v>UVU</c:v>
                </c:pt>
                <c:pt idx="2">
                  <c:v>DSU</c:v>
                </c:pt>
                <c:pt idx="3">
                  <c:v>SNOW</c:v>
                </c:pt>
                <c:pt idx="4">
                  <c:v>SUU</c:v>
                </c:pt>
                <c:pt idx="5">
                  <c:v>WSU</c:v>
                </c:pt>
                <c:pt idx="6">
                  <c:v>USU</c:v>
                </c:pt>
                <c:pt idx="7">
                  <c:v>UU</c:v>
                </c:pt>
              </c:strCache>
            </c:strRef>
          </c:cat>
          <c:val>
            <c:numRef>
              <c:f>'Chart Data (Not In Agenda)'!$H$5:$H$12</c:f>
              <c:numCache>
                <c:formatCode>"$"#,##0</c:formatCode>
                <c:ptCount val="8"/>
                <c:pt idx="0">
                  <c:v>9453.4233333333341</c:v>
                </c:pt>
                <c:pt idx="1">
                  <c:v>20461.666666666668</c:v>
                </c:pt>
                <c:pt idx="2">
                  <c:v>18649.363636363636</c:v>
                </c:pt>
                <c:pt idx="3">
                  <c:v>9453.4233333333341</c:v>
                </c:pt>
                <c:pt idx="4">
                  <c:v>13780</c:v>
                </c:pt>
                <c:pt idx="5">
                  <c:v>20461.666666666668</c:v>
                </c:pt>
                <c:pt idx="6">
                  <c:v>24660.777777777777</c:v>
                </c:pt>
                <c:pt idx="7">
                  <c:v>30049.875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3593-4DDA-9E4B-9C10C2C10574}"/>
            </c:ext>
          </c:extLst>
        </c:ser>
        <c:ser>
          <c:idx val="3"/>
          <c:order val="2"/>
          <c:tx>
            <c:strRef>
              <c:f>'Chart Data (Not In Agenda)'!$I$4</c:f>
              <c:strCache>
                <c:ptCount val="1"/>
                <c:pt idx="0">
                  <c:v>USHE Inst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6.1335586656389704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593-4DDA-9E4B-9C10C2C10574}"/>
                </c:ext>
              </c:extLst>
            </c:dLbl>
            <c:dLbl>
              <c:idx val="1"/>
              <c:layout>
                <c:manualLayout>
                  <c:x val="-6.4184934244205835E-2"/>
                  <c:y val="1.2308232647306042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593-4DDA-9E4B-9C10C2C10574}"/>
                </c:ext>
              </c:extLst>
            </c:dLbl>
            <c:dLbl>
              <c:idx val="2"/>
              <c:layout>
                <c:manualLayout>
                  <c:x val="-5.7497941306215453E-2"/>
                  <c:y val="-9.6915217605064047E-8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593-4DDA-9E4B-9C10C2C10574}"/>
                </c:ext>
              </c:extLst>
            </c:dLbl>
            <c:dLbl>
              <c:idx val="3"/>
              <c:layout>
                <c:manualLayout>
                  <c:x val="-7.9969630660745417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593-4DDA-9E4B-9C10C2C10574}"/>
                </c:ext>
              </c:extLst>
            </c:dLbl>
            <c:dLbl>
              <c:idx val="4"/>
              <c:layout>
                <c:manualLayout>
                  <c:x val="-6.0710454796292751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3593-4DDA-9E4B-9C10C2C10574}"/>
                </c:ext>
              </c:extLst>
            </c:dLbl>
            <c:dLbl>
              <c:idx val="5"/>
              <c:layout>
                <c:manualLayout>
                  <c:x val="-6.597752986996663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3593-4DDA-9E4B-9C10C2C10574}"/>
                </c:ext>
              </c:extLst>
            </c:dLbl>
            <c:dLbl>
              <c:idx val="6"/>
              <c:layout>
                <c:manualLayout>
                  <c:x val="-5.9348699611900688E-2"/>
                  <c:y val="-1.2308232647306042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3593-4DDA-9E4B-9C10C2C10574}"/>
                </c:ext>
              </c:extLst>
            </c:dLbl>
            <c:dLbl>
              <c:idx val="7"/>
              <c:layout>
                <c:manualLayout>
                  <c:x val="-4.8020543120922077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3593-4DDA-9E4B-9C10C2C1057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'Chart Data (Not In Agenda)'!$F$5:$F$12</c:f>
              <c:strCache>
                <c:ptCount val="8"/>
                <c:pt idx="0">
                  <c:v>SLCC</c:v>
                </c:pt>
                <c:pt idx="1">
                  <c:v>UVU</c:v>
                </c:pt>
                <c:pt idx="2">
                  <c:v>DSU</c:v>
                </c:pt>
                <c:pt idx="3">
                  <c:v>SNOW</c:v>
                </c:pt>
                <c:pt idx="4">
                  <c:v>SUU</c:v>
                </c:pt>
                <c:pt idx="5">
                  <c:v>WSU</c:v>
                </c:pt>
                <c:pt idx="6">
                  <c:v>USU</c:v>
                </c:pt>
                <c:pt idx="7">
                  <c:v>UU</c:v>
                </c:pt>
              </c:strCache>
            </c:strRef>
          </c:cat>
          <c:val>
            <c:numRef>
              <c:f>'Chart Data (Not In Agenda)'!$I$5:$I$12</c:f>
              <c:numCache>
                <c:formatCode>"$"#,##0</c:formatCode>
                <c:ptCount val="8"/>
                <c:pt idx="0">
                  <c:v>12206</c:v>
                </c:pt>
                <c:pt idx="1">
                  <c:v>16296</c:v>
                </c:pt>
                <c:pt idx="2">
                  <c:v>15051</c:v>
                </c:pt>
                <c:pt idx="3">
                  <c:v>12562</c:v>
                </c:pt>
                <c:pt idx="4">
                  <c:v>20632</c:v>
                </c:pt>
                <c:pt idx="5">
                  <c:v>15646</c:v>
                </c:pt>
                <c:pt idx="6">
                  <c:v>21505</c:v>
                </c:pt>
                <c:pt idx="7">
                  <c:v>29115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3593-4DDA-9E4B-9C10C2C105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00325248"/>
        <c:axId val="100326784"/>
      </c:barChart>
      <c:catAx>
        <c:axId val="10032524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100326784"/>
        <c:crosses val="autoZero"/>
        <c:auto val="1"/>
        <c:lblAlgn val="ctr"/>
        <c:lblOffset val="100"/>
        <c:noMultiLvlLbl val="0"/>
      </c:catAx>
      <c:valAx>
        <c:axId val="100326784"/>
        <c:scaling>
          <c:orientation val="minMax"/>
          <c:min val="0"/>
        </c:scaling>
        <c:delete val="0"/>
        <c:axPos val="b"/>
        <c:majorGridlines/>
        <c:numFmt formatCode="&quot;$&quot;#,##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/>
            </a:pPr>
            <a:endParaRPr lang="en-US"/>
          </a:p>
        </c:txPr>
        <c:crossAx val="100325248"/>
        <c:crosses val="autoZero"/>
        <c:crossBetween val="between"/>
        <c:majorUnit val="5000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/>
            </a:pPr>
            <a:r>
              <a:rPr lang="en-US" sz="1600" b="1"/>
              <a:t>Utah System of Higher Education</a:t>
            </a:r>
          </a:p>
          <a:p>
            <a:pPr>
              <a:defRPr sz="1800" b="1"/>
            </a:pPr>
            <a:r>
              <a:rPr lang="en-US" sz="1600" b="1">
                <a:solidFill>
                  <a:srgbClr val="FF0000"/>
                </a:solidFill>
              </a:rPr>
              <a:t>TUITION</a:t>
            </a:r>
            <a:r>
              <a:rPr lang="en-US" sz="1600" b="1" baseline="0">
                <a:solidFill>
                  <a:srgbClr val="FF0000"/>
                </a:solidFill>
              </a:rPr>
              <a:t> &amp; FEE COMPARISONS</a:t>
            </a:r>
            <a:endParaRPr lang="en-US" sz="1600" b="1">
              <a:solidFill>
                <a:srgbClr val="FF0000"/>
              </a:solidFill>
            </a:endParaRPr>
          </a:p>
          <a:p>
            <a:pPr>
              <a:defRPr sz="1800" b="1"/>
            </a:pPr>
            <a:r>
              <a:rPr lang="en-US" sz="1600" b="1"/>
              <a:t>Utah Resident</a:t>
            </a:r>
            <a:r>
              <a:rPr lang="en-US" sz="1600" b="1" baseline="0"/>
              <a:t> Graduate 2018-18</a:t>
            </a:r>
            <a:endParaRPr lang="en-US" sz="1600" b="1"/>
          </a:p>
        </c:rich>
      </c:tx>
      <c:layout>
        <c:manualLayout>
          <c:xMode val="edge"/>
          <c:yMode val="edge"/>
          <c:x val="0.29501507066957205"/>
          <c:y val="1.53005467114245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511085976131437E-2"/>
          <c:y val="0.13150952422889717"/>
          <c:w val="0.86651763961035044"/>
          <c:h val="0.8264497539081786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'Chart Data (Not In Agenda)'!$B$15</c:f>
              <c:strCache>
                <c:ptCount val="1"/>
                <c:pt idx="0">
                  <c:v>WICHE Avg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0.10215485899750615"/>
                  <c:y val="-1.1769829208816747E-7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D34-4CA9-84F3-18C9D5B9227A}"/>
                </c:ext>
              </c:extLst>
            </c:dLbl>
            <c:dLbl>
              <c:idx val="1"/>
              <c:layout>
                <c:manualLayout>
                  <c:x val="-0.10215471216273521"/>
                  <c:y val="1.0961507651748423E-16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D34-4CA9-84F3-18C9D5B9227A}"/>
                </c:ext>
              </c:extLst>
            </c:dLbl>
            <c:dLbl>
              <c:idx val="2"/>
              <c:layout>
                <c:manualLayout>
                  <c:x val="-0.10371629995172119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D34-4CA9-84F3-18C9D5B9227A}"/>
                </c:ext>
              </c:extLst>
            </c:dLbl>
            <c:dLbl>
              <c:idx val="3"/>
              <c:layout>
                <c:manualLayout>
                  <c:x val="-0.10029005740652268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D34-4CA9-84F3-18C9D5B9227A}"/>
                </c:ext>
              </c:extLst>
            </c:dLbl>
            <c:dLbl>
              <c:idx val="4"/>
              <c:layout>
                <c:manualLayout>
                  <c:x val="-0.10401951375371959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D34-4CA9-84F3-18C9D5B9227A}"/>
                </c:ext>
              </c:extLst>
            </c:dLbl>
            <c:dLbl>
              <c:idx val="5"/>
              <c:layout>
                <c:manualLayout>
                  <c:x val="-0.10371629995172119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D34-4CA9-84F3-18C9D5B9227A}"/>
                </c:ext>
              </c:extLst>
            </c:dLbl>
            <c:dLbl>
              <c:idx val="6"/>
              <c:layout>
                <c:manualLayout>
                  <c:x val="-0.10215471216273521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D34-4CA9-84F3-18C9D5B9227A}"/>
                </c:ext>
              </c:extLst>
            </c:dLbl>
            <c:dLbl>
              <c:idx val="7"/>
              <c:layout>
                <c:manualLayout>
                  <c:x val="-9.9986696769752567E-2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D34-4CA9-84F3-18C9D5B9227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'Chart Data (Not In Agenda)'!$A$16:$A$21</c:f>
              <c:strCache>
                <c:ptCount val="6"/>
                <c:pt idx="0">
                  <c:v>UVU</c:v>
                </c:pt>
                <c:pt idx="1">
                  <c:v>DSU</c:v>
                </c:pt>
                <c:pt idx="2">
                  <c:v>SUU</c:v>
                </c:pt>
                <c:pt idx="3">
                  <c:v>WSU</c:v>
                </c:pt>
                <c:pt idx="4">
                  <c:v>USU</c:v>
                </c:pt>
                <c:pt idx="5">
                  <c:v>UU</c:v>
                </c:pt>
              </c:strCache>
            </c:strRef>
          </c:cat>
          <c:val>
            <c:numRef>
              <c:f>'Chart Data (Not In Agenda)'!$B$16:$B$21</c:f>
              <c:numCache>
                <c:formatCode>"$"#,##0</c:formatCode>
                <c:ptCount val="6"/>
                <c:pt idx="0">
                  <c:v>8999.4</c:v>
                </c:pt>
                <c:pt idx="1">
                  <c:v>10146.928571428571</c:v>
                </c:pt>
                <c:pt idx="2">
                  <c:v>9459.4</c:v>
                </c:pt>
                <c:pt idx="3">
                  <c:v>8999.4</c:v>
                </c:pt>
                <c:pt idx="4">
                  <c:v>10041.4</c:v>
                </c:pt>
                <c:pt idx="5">
                  <c:v>12768.619047619048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D34-4CA9-84F3-18C9D5B9227A}"/>
            </c:ext>
          </c:extLst>
        </c:ser>
        <c:ser>
          <c:idx val="2"/>
          <c:order val="1"/>
          <c:tx>
            <c:strRef>
              <c:f>'Chart Data (Not In Agenda)'!$C$15</c:f>
              <c:strCache>
                <c:ptCount val="1"/>
                <c:pt idx="0">
                  <c:v>Rocky Mtn Avg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0.13094548671027986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D34-4CA9-84F3-18C9D5B9227A}"/>
                </c:ext>
              </c:extLst>
            </c:dLbl>
            <c:dLbl>
              <c:idx val="1"/>
              <c:layout>
                <c:manualLayout>
                  <c:x val="-0.13311350210326126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D34-4CA9-84F3-18C9D5B9227A}"/>
                </c:ext>
              </c:extLst>
            </c:dLbl>
            <c:dLbl>
              <c:idx val="2"/>
              <c:layout>
                <c:manualLayout>
                  <c:x val="-0.13311350210326126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D34-4CA9-84F3-18C9D5B9227A}"/>
                </c:ext>
              </c:extLst>
            </c:dLbl>
            <c:dLbl>
              <c:idx val="3"/>
              <c:layout>
                <c:manualLayout>
                  <c:x val="-0.13281028830126354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D34-4CA9-84F3-18C9D5B9227A}"/>
                </c:ext>
              </c:extLst>
            </c:dLbl>
            <c:dLbl>
              <c:idx val="4"/>
              <c:layout>
                <c:manualLayout>
                  <c:x val="-0.12938389892129301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D34-4CA9-84F3-18C9D5B9227A}"/>
                </c:ext>
              </c:extLst>
            </c:dLbl>
            <c:dLbl>
              <c:idx val="5"/>
              <c:layout>
                <c:manualLayout>
                  <c:x val="-0.13281028830126354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D34-4CA9-84F3-18C9D5B9227A}"/>
                </c:ext>
              </c:extLst>
            </c:dLbl>
            <c:dLbl>
              <c:idx val="6"/>
              <c:layout>
                <c:manualLayout>
                  <c:x val="-0.13155191431427568"/>
                  <c:y val="-1.1769829222518626E-7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D34-4CA9-84F3-18C9D5B9227A}"/>
                </c:ext>
              </c:extLst>
            </c:dLbl>
            <c:dLbl>
              <c:idx val="7"/>
              <c:layout>
                <c:manualLayout>
                  <c:x val="-0.13281028830126354"/>
                  <c:y val="1.3701884564685576E-17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D34-4CA9-84F3-18C9D5B9227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'Chart Data (Not In Agenda)'!$A$16:$A$21</c:f>
              <c:strCache>
                <c:ptCount val="6"/>
                <c:pt idx="0">
                  <c:v>UVU</c:v>
                </c:pt>
                <c:pt idx="1">
                  <c:v>DSU</c:v>
                </c:pt>
                <c:pt idx="2">
                  <c:v>SUU</c:v>
                </c:pt>
                <c:pt idx="3">
                  <c:v>WSU</c:v>
                </c:pt>
                <c:pt idx="4">
                  <c:v>USU</c:v>
                </c:pt>
                <c:pt idx="5">
                  <c:v>UU</c:v>
                </c:pt>
              </c:strCache>
            </c:strRef>
          </c:cat>
          <c:val>
            <c:numRef>
              <c:f>'Chart Data (Not In Agenda)'!$C$16:$C$21</c:f>
              <c:numCache>
                <c:formatCode>"$"#,##0</c:formatCode>
                <c:ptCount val="6"/>
                <c:pt idx="0">
                  <c:v>8130.666666666667</c:v>
                </c:pt>
                <c:pt idx="1">
                  <c:v>10029.857142857143</c:v>
                </c:pt>
                <c:pt idx="2">
                  <c:v>6849</c:v>
                </c:pt>
                <c:pt idx="3">
                  <c:v>8130.666666666667</c:v>
                </c:pt>
                <c:pt idx="4">
                  <c:v>9228.5555555555547</c:v>
                </c:pt>
                <c:pt idx="5">
                  <c:v>10763.625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D34-4CA9-84F3-18C9D5B9227A}"/>
            </c:ext>
          </c:extLst>
        </c:ser>
        <c:ser>
          <c:idx val="3"/>
          <c:order val="2"/>
          <c:tx>
            <c:strRef>
              <c:f>'Chart Data (Not In Agenda)'!$D$15</c:f>
              <c:strCache>
                <c:ptCount val="1"/>
                <c:pt idx="0">
                  <c:v>USHE Inst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6.052798454989277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D34-4CA9-84F3-18C9D5B9227A}"/>
                </c:ext>
              </c:extLst>
            </c:dLbl>
            <c:dLbl>
              <c:idx val="1"/>
              <c:layout>
                <c:manualLayout>
                  <c:x val="-5.8535647230248462E-2"/>
                  <c:y val="1.2185018066090409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D34-4CA9-84F3-18C9D5B9227A}"/>
                </c:ext>
              </c:extLst>
            </c:dLbl>
            <c:dLbl>
              <c:idx val="2"/>
              <c:layout>
                <c:manualLayout>
                  <c:x val="-6.2337533330753918E-2"/>
                  <c:y val="1.2185018066090409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D34-4CA9-84F3-18C9D5B9227A}"/>
                </c:ext>
              </c:extLst>
            </c:dLbl>
            <c:dLbl>
              <c:idx val="3"/>
              <c:layout>
                <c:manualLayout>
                  <c:x val="-5.8918405852929595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D34-4CA9-84F3-18C9D5B9227A}"/>
                </c:ext>
              </c:extLst>
            </c:dLbl>
            <c:dLbl>
              <c:idx val="4"/>
              <c:layout>
                <c:manualLayout>
                  <c:x val="-4.6699439621740384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D34-4CA9-84F3-18C9D5B9227A}"/>
                </c:ext>
              </c:extLst>
            </c:dLbl>
            <c:dLbl>
              <c:idx val="5"/>
              <c:layout>
                <c:manualLayout>
                  <c:x val="-0.25807033268060381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D34-4CA9-84F3-18C9D5B9227A}"/>
                </c:ext>
              </c:extLst>
            </c:dLbl>
            <c:dLbl>
              <c:idx val="6"/>
              <c:layout>
                <c:manualLayout>
                  <c:x val="-0.31283191999972043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D34-4CA9-84F3-18C9D5B9227A}"/>
                </c:ext>
              </c:extLst>
            </c:dLbl>
            <c:dLbl>
              <c:idx val="7"/>
              <c:layout>
                <c:manualLayout>
                  <c:x val="-0.37873679808574595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D34-4CA9-84F3-18C9D5B9227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'Chart Data (Not In Agenda)'!$A$16:$A$21</c:f>
              <c:strCache>
                <c:ptCount val="6"/>
                <c:pt idx="0">
                  <c:v>UVU</c:v>
                </c:pt>
                <c:pt idx="1">
                  <c:v>DSU</c:v>
                </c:pt>
                <c:pt idx="2">
                  <c:v>SUU</c:v>
                </c:pt>
                <c:pt idx="3">
                  <c:v>WSU</c:v>
                </c:pt>
                <c:pt idx="4">
                  <c:v>USU</c:v>
                </c:pt>
                <c:pt idx="5">
                  <c:v>UU</c:v>
                </c:pt>
              </c:strCache>
            </c:strRef>
          </c:cat>
          <c:val>
            <c:numRef>
              <c:f>'Chart Data (Not In Agenda)'!$D$16:$D$21</c:f>
              <c:numCache>
                <c:formatCode>"$"#,##0</c:formatCode>
                <c:ptCount val="6"/>
                <c:pt idx="0">
                  <c:v>6350</c:v>
                </c:pt>
                <c:pt idx="1">
                  <c:v>12795</c:v>
                </c:pt>
                <c:pt idx="2">
                  <c:v>6920</c:v>
                </c:pt>
                <c:pt idx="3">
                  <c:v>5907</c:v>
                </c:pt>
                <c:pt idx="4">
                  <c:v>7449</c:v>
                </c:pt>
                <c:pt idx="5">
                  <c:v>8112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7D34-4CA9-84F3-18C9D5B922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30853120"/>
        <c:axId val="130871296"/>
      </c:barChart>
      <c:catAx>
        <c:axId val="13085312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130871296"/>
        <c:crosses val="autoZero"/>
        <c:auto val="1"/>
        <c:lblAlgn val="ctr"/>
        <c:lblOffset val="100"/>
        <c:noMultiLvlLbl val="0"/>
      </c:catAx>
      <c:valAx>
        <c:axId val="130871296"/>
        <c:scaling>
          <c:orientation val="minMax"/>
          <c:max val="15000"/>
          <c:min val="0"/>
        </c:scaling>
        <c:delete val="0"/>
        <c:axPos val="b"/>
        <c:majorGridlines/>
        <c:numFmt formatCode="&quot;$&quot;#,##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/>
            </a:pPr>
            <a:endParaRPr lang="en-US"/>
          </a:p>
        </c:txPr>
        <c:crossAx val="1308531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/>
            </a:pPr>
            <a:r>
              <a:rPr lang="en-US" sz="1600" b="1"/>
              <a:t>Utah System of Higher Education</a:t>
            </a:r>
          </a:p>
          <a:p>
            <a:pPr>
              <a:defRPr sz="1800" b="1"/>
            </a:pPr>
            <a:r>
              <a:rPr lang="en-US" sz="1600" b="1">
                <a:solidFill>
                  <a:srgbClr val="FF0000"/>
                </a:solidFill>
              </a:rPr>
              <a:t>TUITION &amp; FEE COMPARISONS</a:t>
            </a:r>
          </a:p>
          <a:p>
            <a:pPr>
              <a:defRPr sz="1800" b="1"/>
            </a:pPr>
            <a:r>
              <a:rPr lang="en-US" sz="1600" b="1"/>
              <a:t>Non-Resident</a:t>
            </a:r>
            <a:r>
              <a:rPr lang="en-US" sz="1600" b="1" baseline="0"/>
              <a:t> Graduate 2018-19</a:t>
            </a:r>
            <a:endParaRPr lang="en-US" sz="1600" b="1"/>
          </a:p>
        </c:rich>
      </c:tx>
      <c:layout>
        <c:manualLayout>
          <c:xMode val="edge"/>
          <c:yMode val="edge"/>
          <c:x val="0.29868239206380098"/>
          <c:y val="9.180328026854749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511085976131437E-2"/>
          <c:y val="0.13150952422889717"/>
          <c:w val="0.86651763961035044"/>
          <c:h val="0.8264497539081786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'Chart Data (Not In Agenda)'!$G$15</c:f>
              <c:strCache>
                <c:ptCount val="1"/>
                <c:pt idx="0">
                  <c:v>WICHE Avg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0.10215485899750615"/>
                  <c:y val="-1.1769829208816747E-7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E94-459F-A663-8980055AC76C}"/>
                </c:ext>
              </c:extLst>
            </c:dLbl>
            <c:dLbl>
              <c:idx val="1"/>
              <c:layout>
                <c:manualLayout>
                  <c:x val="-0.10215471216273521"/>
                  <c:y val="1.0961507651748423E-16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E94-459F-A663-8980055AC76C}"/>
                </c:ext>
              </c:extLst>
            </c:dLbl>
            <c:dLbl>
              <c:idx val="2"/>
              <c:layout>
                <c:manualLayout>
                  <c:x val="-0.10371629995172119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E94-459F-A663-8980055AC76C}"/>
                </c:ext>
              </c:extLst>
            </c:dLbl>
            <c:dLbl>
              <c:idx val="3"/>
              <c:layout>
                <c:manualLayout>
                  <c:x val="-0.10029005740652268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E94-459F-A663-8980055AC76C}"/>
                </c:ext>
              </c:extLst>
            </c:dLbl>
            <c:dLbl>
              <c:idx val="4"/>
              <c:layout>
                <c:manualLayout>
                  <c:x val="-0.10401951375371959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E94-459F-A663-8980055AC76C}"/>
                </c:ext>
              </c:extLst>
            </c:dLbl>
            <c:dLbl>
              <c:idx val="5"/>
              <c:layout>
                <c:manualLayout>
                  <c:x val="-0.10371629995172119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E94-459F-A663-8980055AC76C}"/>
                </c:ext>
              </c:extLst>
            </c:dLbl>
            <c:dLbl>
              <c:idx val="6"/>
              <c:layout>
                <c:manualLayout>
                  <c:x val="-0.10215471216273521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E94-459F-A663-8980055AC76C}"/>
                </c:ext>
              </c:extLst>
            </c:dLbl>
            <c:dLbl>
              <c:idx val="7"/>
              <c:layout>
                <c:manualLayout>
                  <c:x val="-9.9986696769752567E-2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E94-459F-A663-8980055AC76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'Chart Data (Not In Agenda)'!$F$16:$F$21</c:f>
              <c:strCache>
                <c:ptCount val="6"/>
                <c:pt idx="0">
                  <c:v>UVU</c:v>
                </c:pt>
                <c:pt idx="1">
                  <c:v>DSU</c:v>
                </c:pt>
                <c:pt idx="2">
                  <c:v>SUU</c:v>
                </c:pt>
                <c:pt idx="3">
                  <c:v>WSU</c:v>
                </c:pt>
                <c:pt idx="4">
                  <c:v>USU</c:v>
                </c:pt>
                <c:pt idx="5">
                  <c:v>UU</c:v>
                </c:pt>
              </c:strCache>
            </c:strRef>
          </c:cat>
          <c:val>
            <c:numRef>
              <c:f>'Chart Data (Not In Agenda)'!$G$16:$G$21</c:f>
              <c:numCache>
                <c:formatCode>"$"#,##0</c:formatCode>
                <c:ptCount val="6"/>
                <c:pt idx="0">
                  <c:v>20464.099999999999</c:v>
                </c:pt>
                <c:pt idx="1">
                  <c:v>20240.642857142859</c:v>
                </c:pt>
                <c:pt idx="2">
                  <c:v>18069</c:v>
                </c:pt>
                <c:pt idx="3">
                  <c:v>20464.099999999999</c:v>
                </c:pt>
                <c:pt idx="4">
                  <c:v>23205.866666666665</c:v>
                </c:pt>
                <c:pt idx="5">
                  <c:v>28934.285714285714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E94-459F-A663-8980055AC76C}"/>
            </c:ext>
          </c:extLst>
        </c:ser>
        <c:ser>
          <c:idx val="2"/>
          <c:order val="1"/>
          <c:tx>
            <c:strRef>
              <c:f>'Chart Data (Not In Agenda)'!$H$15</c:f>
              <c:strCache>
                <c:ptCount val="1"/>
                <c:pt idx="0">
                  <c:v>Rocky Mtn Avg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0.13094548671027986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E94-459F-A663-8980055AC76C}"/>
                </c:ext>
              </c:extLst>
            </c:dLbl>
            <c:dLbl>
              <c:idx val="1"/>
              <c:layout>
                <c:manualLayout>
                  <c:x val="-0.13311350210326126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E94-459F-A663-8980055AC76C}"/>
                </c:ext>
              </c:extLst>
            </c:dLbl>
            <c:dLbl>
              <c:idx val="2"/>
              <c:layout>
                <c:manualLayout>
                  <c:x val="-0.13311350210326126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E94-459F-A663-8980055AC76C}"/>
                </c:ext>
              </c:extLst>
            </c:dLbl>
            <c:dLbl>
              <c:idx val="3"/>
              <c:layout>
                <c:manualLayout>
                  <c:x val="-0.13281028830126354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E94-459F-A663-8980055AC76C}"/>
                </c:ext>
              </c:extLst>
            </c:dLbl>
            <c:dLbl>
              <c:idx val="4"/>
              <c:layout>
                <c:manualLayout>
                  <c:x val="-0.12938389892129301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E94-459F-A663-8980055AC76C}"/>
                </c:ext>
              </c:extLst>
            </c:dLbl>
            <c:dLbl>
              <c:idx val="5"/>
              <c:layout>
                <c:manualLayout>
                  <c:x val="-0.13281028830126354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E94-459F-A663-8980055AC76C}"/>
                </c:ext>
              </c:extLst>
            </c:dLbl>
            <c:dLbl>
              <c:idx val="6"/>
              <c:layout>
                <c:manualLayout>
                  <c:x val="-0.13155191431427568"/>
                  <c:y val="-1.1769829222518626E-7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E94-459F-A663-8980055AC76C}"/>
                </c:ext>
              </c:extLst>
            </c:dLbl>
            <c:dLbl>
              <c:idx val="7"/>
              <c:layout>
                <c:manualLayout>
                  <c:x val="-0.13281028830126354"/>
                  <c:y val="1.3701884564685576E-17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E94-459F-A663-8980055AC76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'Chart Data (Not In Agenda)'!$F$16:$F$21</c:f>
              <c:strCache>
                <c:ptCount val="6"/>
                <c:pt idx="0">
                  <c:v>UVU</c:v>
                </c:pt>
                <c:pt idx="1">
                  <c:v>DSU</c:v>
                </c:pt>
                <c:pt idx="2">
                  <c:v>SUU</c:v>
                </c:pt>
                <c:pt idx="3">
                  <c:v>WSU</c:v>
                </c:pt>
                <c:pt idx="4">
                  <c:v>USU</c:v>
                </c:pt>
                <c:pt idx="5">
                  <c:v>UU</c:v>
                </c:pt>
              </c:strCache>
            </c:strRef>
          </c:cat>
          <c:val>
            <c:numRef>
              <c:f>'Chart Data (Not In Agenda)'!$H$16:$H$21</c:f>
              <c:numCache>
                <c:formatCode>"$"#,##0</c:formatCode>
                <c:ptCount val="6"/>
                <c:pt idx="0">
                  <c:v>21925.5</c:v>
                </c:pt>
                <c:pt idx="1">
                  <c:v>20610.857142857141</c:v>
                </c:pt>
                <c:pt idx="2">
                  <c:v>14979.5</c:v>
                </c:pt>
                <c:pt idx="3">
                  <c:v>21925.5</c:v>
                </c:pt>
                <c:pt idx="4">
                  <c:v>24589.111111111109</c:v>
                </c:pt>
                <c:pt idx="5">
                  <c:v>28910.625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E94-459F-A663-8980055AC76C}"/>
            </c:ext>
          </c:extLst>
        </c:ser>
        <c:ser>
          <c:idx val="3"/>
          <c:order val="2"/>
          <c:tx>
            <c:strRef>
              <c:f>'Chart Data (Not In Agenda)'!$I$15</c:f>
              <c:strCache>
                <c:ptCount val="1"/>
                <c:pt idx="0">
                  <c:v>USHE Inst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6.052798454989277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E94-459F-A663-8980055AC76C}"/>
                </c:ext>
              </c:extLst>
            </c:dLbl>
            <c:dLbl>
              <c:idx val="1"/>
              <c:layout>
                <c:manualLayout>
                  <c:x val="-5.8535647230248462E-2"/>
                  <c:y val="1.2185018066090409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E94-459F-A663-8980055AC76C}"/>
                </c:ext>
              </c:extLst>
            </c:dLbl>
            <c:dLbl>
              <c:idx val="2"/>
              <c:layout>
                <c:manualLayout>
                  <c:x val="-6.2337533330753918E-2"/>
                  <c:y val="1.2185018066090409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E94-459F-A663-8980055AC76C}"/>
                </c:ext>
              </c:extLst>
            </c:dLbl>
            <c:dLbl>
              <c:idx val="3"/>
              <c:layout>
                <c:manualLayout>
                  <c:x val="-5.8918405852929595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E94-459F-A663-8980055AC76C}"/>
                </c:ext>
              </c:extLst>
            </c:dLbl>
            <c:dLbl>
              <c:idx val="4"/>
              <c:layout>
                <c:manualLayout>
                  <c:x val="-4.6699439621740384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E94-459F-A663-8980055AC76C}"/>
                </c:ext>
              </c:extLst>
            </c:dLbl>
            <c:dLbl>
              <c:idx val="5"/>
              <c:layout>
                <c:manualLayout>
                  <c:x val="-0.25807033268060381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E94-459F-A663-8980055AC76C}"/>
                </c:ext>
              </c:extLst>
            </c:dLbl>
            <c:dLbl>
              <c:idx val="6"/>
              <c:layout>
                <c:manualLayout>
                  <c:x val="-0.31283191999972043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E94-459F-A663-8980055AC76C}"/>
                </c:ext>
              </c:extLst>
            </c:dLbl>
            <c:dLbl>
              <c:idx val="7"/>
              <c:layout>
                <c:manualLayout>
                  <c:x val="-0.37873679808574595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E94-459F-A663-8980055AC7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'Chart Data (Not In Agenda)'!$F$16:$F$21</c:f>
              <c:strCache>
                <c:ptCount val="6"/>
                <c:pt idx="0">
                  <c:v>UVU</c:v>
                </c:pt>
                <c:pt idx="1">
                  <c:v>DSU</c:v>
                </c:pt>
                <c:pt idx="2">
                  <c:v>SUU</c:v>
                </c:pt>
                <c:pt idx="3">
                  <c:v>WSU</c:v>
                </c:pt>
                <c:pt idx="4">
                  <c:v>USU</c:v>
                </c:pt>
                <c:pt idx="5">
                  <c:v>UU</c:v>
                </c:pt>
              </c:strCache>
            </c:strRef>
          </c:cat>
          <c:val>
            <c:numRef>
              <c:f>'Chart Data (Not In Agenda)'!$I$16:$I$21</c:f>
              <c:numCache>
                <c:formatCode>"$"#,##0</c:formatCode>
                <c:ptCount val="6"/>
                <c:pt idx="0">
                  <c:v>17950</c:v>
                </c:pt>
                <c:pt idx="1">
                  <c:v>30795</c:v>
                </c:pt>
                <c:pt idx="2">
                  <c:v>20974</c:v>
                </c:pt>
                <c:pt idx="3">
                  <c:v>15790</c:v>
                </c:pt>
                <c:pt idx="4">
                  <c:v>23365</c:v>
                </c:pt>
                <c:pt idx="5">
                  <c:v>25790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7E94-459F-A663-8980055AC7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30730240"/>
        <c:axId val="130891776"/>
      </c:barChart>
      <c:catAx>
        <c:axId val="13073024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130891776"/>
        <c:crosses val="autoZero"/>
        <c:auto val="1"/>
        <c:lblAlgn val="ctr"/>
        <c:lblOffset val="100"/>
        <c:noMultiLvlLbl val="0"/>
      </c:catAx>
      <c:valAx>
        <c:axId val="130891776"/>
        <c:scaling>
          <c:orientation val="minMax"/>
          <c:max val="35000"/>
          <c:min val="0"/>
        </c:scaling>
        <c:delete val="0"/>
        <c:axPos val="b"/>
        <c:majorGridlines/>
        <c:numFmt formatCode="&quot;$&quot;#,##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/>
            </a:pPr>
            <a:endParaRPr lang="en-US"/>
          </a:p>
        </c:txPr>
        <c:crossAx val="1307302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latin typeface="Arial Narrow" pitchFamily="34" charset="0"/>
              </a:rPr>
              <a:t>Utah</a:t>
            </a:r>
            <a:r>
              <a:rPr lang="en-US" sz="1200" baseline="0">
                <a:latin typeface="Arial Narrow" pitchFamily="34" charset="0"/>
              </a:rPr>
              <a:t> System of Higher Education</a:t>
            </a:r>
          </a:p>
          <a:p>
            <a:pPr>
              <a:defRPr/>
            </a:pPr>
            <a:r>
              <a:rPr lang="en-US" sz="1200" baseline="0">
                <a:latin typeface="Arial Narrow" pitchFamily="34" charset="0"/>
              </a:rPr>
              <a:t>2018-19</a:t>
            </a:r>
          </a:p>
          <a:p>
            <a:pPr>
              <a:defRPr/>
            </a:pPr>
            <a:r>
              <a:rPr lang="en-US" sz="1200" baseline="0">
                <a:latin typeface="Arial Narrow" pitchFamily="34" charset="0"/>
              </a:rPr>
              <a:t> Tuition and Fees by Credit Hour</a:t>
            </a:r>
          </a:p>
          <a:p>
            <a:pPr>
              <a:defRPr/>
            </a:pPr>
            <a:r>
              <a:rPr lang="en-US" sz="1200" baseline="0">
                <a:latin typeface="Arial Narrow" pitchFamily="34" charset="0"/>
              </a:rPr>
              <a:t>Resident Undergraduate Students</a:t>
            </a:r>
            <a:endParaRPr lang="en-US" sz="1200">
              <a:latin typeface="Arial Narrow" pitchFamily="34" charset="0"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'Table 1 &amp; 2'!$B$37:$B$38</c:f>
              <c:strCache>
                <c:ptCount val="2"/>
                <c:pt idx="0">
                  <c:v>UofU1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'Table 1 &amp; 2'!$A$39:$A$63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'Table 1 &amp; 2'!$B$39:$B$63</c:f>
              <c:numCache>
                <c:formatCode>#,##0.00_);\(#,##0.00\)</c:formatCode>
                <c:ptCount val="25"/>
                <c:pt idx="0" formatCode="&quot;$&quot;#,##0.00_);\(&quot;$&quot;#,##0.00\)">
                  <c:v>1311.07</c:v>
                </c:pt>
                <c:pt idx="1">
                  <c:v>1546.79</c:v>
                </c:pt>
                <c:pt idx="2">
                  <c:v>1782.5099999999998</c:v>
                </c:pt>
                <c:pt idx="3">
                  <c:v>2018.23</c:v>
                </c:pt>
                <c:pt idx="4">
                  <c:v>2253.9500000000003</c:v>
                </c:pt>
                <c:pt idx="5">
                  <c:v>2489.67</c:v>
                </c:pt>
                <c:pt idx="6">
                  <c:v>2725.39</c:v>
                </c:pt>
                <c:pt idx="7">
                  <c:v>2961.11</c:v>
                </c:pt>
                <c:pt idx="8">
                  <c:v>3196.8300000000004</c:v>
                </c:pt>
                <c:pt idx="9">
                  <c:v>3432.5499999999997</c:v>
                </c:pt>
                <c:pt idx="10">
                  <c:v>3668.27</c:v>
                </c:pt>
                <c:pt idx="11">
                  <c:v>3903.99</c:v>
                </c:pt>
                <c:pt idx="12">
                  <c:v>4139.71</c:v>
                </c:pt>
                <c:pt idx="13">
                  <c:v>4375.43</c:v>
                </c:pt>
                <c:pt idx="14">
                  <c:v>4611.1499999999996</c:v>
                </c:pt>
                <c:pt idx="15">
                  <c:v>4840.22</c:v>
                </c:pt>
                <c:pt idx="16">
                  <c:v>5069.29</c:v>
                </c:pt>
                <c:pt idx="17">
                  <c:v>5298.36</c:v>
                </c:pt>
                <c:pt idx="18">
                  <c:v>5527.43</c:v>
                </c:pt>
                <c:pt idx="19">
                  <c:v>5756.5</c:v>
                </c:pt>
                <c:pt idx="20">
                  <c:v>5985.5700000000006</c:v>
                </c:pt>
                <c:pt idx="21">
                  <c:v>6214.64</c:v>
                </c:pt>
                <c:pt idx="22">
                  <c:v>6443.71</c:v>
                </c:pt>
                <c:pt idx="23">
                  <c:v>6672.7800000000007</c:v>
                </c:pt>
                <c:pt idx="24">
                  <c:v>6901.85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01-4FAA-AF63-7D8B4EFF746B}"/>
            </c:ext>
          </c:extLst>
        </c:ser>
        <c:ser>
          <c:idx val="1"/>
          <c:order val="1"/>
          <c:tx>
            <c:strRef>
              <c:f>'Table 1 &amp; 2'!$C$37:$C$38</c:f>
              <c:strCache>
                <c:ptCount val="2"/>
                <c:pt idx="0">
                  <c:v>USU1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'Table 1 &amp; 2'!$A$39:$A$63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'Table 1 &amp; 2'!$C$39:$C$63</c:f>
              <c:numCache>
                <c:formatCode>#,##0.00_);\(#,##0.00\)</c:formatCode>
                <c:ptCount val="25"/>
                <c:pt idx="0" formatCode="&quot;$&quot;#,##0.00_);\(&quot;$&quot;#,##0.00\)">
                  <c:v>923.17</c:v>
                </c:pt>
                <c:pt idx="1">
                  <c:v>1176.72</c:v>
                </c:pt>
                <c:pt idx="2">
                  <c:v>1430.27</c:v>
                </c:pt>
                <c:pt idx="3">
                  <c:v>1683.82</c:v>
                </c:pt>
                <c:pt idx="4">
                  <c:v>1937.37</c:v>
                </c:pt>
                <c:pt idx="5">
                  <c:v>2190.92</c:v>
                </c:pt>
                <c:pt idx="6">
                  <c:v>2444.4700000000003</c:v>
                </c:pt>
                <c:pt idx="7">
                  <c:v>2698.02</c:v>
                </c:pt>
                <c:pt idx="8">
                  <c:v>2951.57</c:v>
                </c:pt>
                <c:pt idx="9">
                  <c:v>3205.12</c:v>
                </c:pt>
                <c:pt idx="10">
                  <c:v>3458.67</c:v>
                </c:pt>
                <c:pt idx="11">
                  <c:v>3712.22</c:v>
                </c:pt>
                <c:pt idx="12">
                  <c:v>3712.22</c:v>
                </c:pt>
                <c:pt idx="13">
                  <c:v>3712.22</c:v>
                </c:pt>
                <c:pt idx="14">
                  <c:v>3712.22</c:v>
                </c:pt>
                <c:pt idx="15">
                  <c:v>3712.22</c:v>
                </c:pt>
                <c:pt idx="16">
                  <c:v>3712.22</c:v>
                </c:pt>
                <c:pt idx="17">
                  <c:v>3712.22</c:v>
                </c:pt>
                <c:pt idx="18">
                  <c:v>3965.77</c:v>
                </c:pt>
                <c:pt idx="19">
                  <c:v>4219.32</c:v>
                </c:pt>
                <c:pt idx="20">
                  <c:v>4472.87</c:v>
                </c:pt>
                <c:pt idx="21">
                  <c:v>4726.42</c:v>
                </c:pt>
                <c:pt idx="22">
                  <c:v>4979.97</c:v>
                </c:pt>
                <c:pt idx="23">
                  <c:v>5233.5200000000004</c:v>
                </c:pt>
                <c:pt idx="24">
                  <c:v>5487.07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01-4FAA-AF63-7D8B4EFF746B}"/>
            </c:ext>
          </c:extLst>
        </c:ser>
        <c:ser>
          <c:idx val="2"/>
          <c:order val="2"/>
          <c:tx>
            <c:strRef>
              <c:f>'Table 1 &amp; 2'!$D$37:$D$38</c:f>
              <c:strCache>
                <c:ptCount val="2"/>
                <c:pt idx="0">
                  <c:v>WSU1</c:v>
                </c:pt>
              </c:strCache>
            </c:strRef>
          </c:tx>
          <c:spPr>
            <a:ln>
              <a:solidFill>
                <a:schemeClr val="accent4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'Table 1 &amp; 2'!$A$39:$A$63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'Table 1 &amp; 2'!$D$39:$D$63</c:f>
              <c:numCache>
                <c:formatCode>#,##0.00</c:formatCode>
                <c:ptCount val="25"/>
                <c:pt idx="0" formatCode="&quot;$&quot;#,##0.00_);\(&quot;$&quot;#,##0.00\)">
                  <c:v>569.11</c:v>
                </c:pt>
                <c:pt idx="1">
                  <c:v>805.17000000000007</c:v>
                </c:pt>
                <c:pt idx="2">
                  <c:v>1041.23</c:v>
                </c:pt>
                <c:pt idx="3">
                  <c:v>1277.29</c:v>
                </c:pt>
                <c:pt idx="4">
                  <c:v>1513.3500000000001</c:v>
                </c:pt>
                <c:pt idx="5">
                  <c:v>1749.41</c:v>
                </c:pt>
                <c:pt idx="6">
                  <c:v>1985.47</c:v>
                </c:pt>
                <c:pt idx="7">
                  <c:v>2221.5300000000002</c:v>
                </c:pt>
                <c:pt idx="8">
                  <c:v>2457.59</c:v>
                </c:pt>
                <c:pt idx="9">
                  <c:v>2693.65</c:v>
                </c:pt>
                <c:pt idx="10">
                  <c:v>2929.71</c:v>
                </c:pt>
                <c:pt idx="11">
                  <c:v>2929.71</c:v>
                </c:pt>
                <c:pt idx="12">
                  <c:v>2929.71</c:v>
                </c:pt>
                <c:pt idx="13">
                  <c:v>2929.71</c:v>
                </c:pt>
                <c:pt idx="14">
                  <c:v>2929.71</c:v>
                </c:pt>
                <c:pt idx="15">
                  <c:v>2929.71</c:v>
                </c:pt>
                <c:pt idx="16">
                  <c:v>2929.71</c:v>
                </c:pt>
                <c:pt idx="17">
                  <c:v>2929.71</c:v>
                </c:pt>
                <c:pt idx="18">
                  <c:v>3130.2799999999997</c:v>
                </c:pt>
                <c:pt idx="19">
                  <c:v>3330.85</c:v>
                </c:pt>
                <c:pt idx="20">
                  <c:v>3531.42</c:v>
                </c:pt>
                <c:pt idx="21">
                  <c:v>3731.99</c:v>
                </c:pt>
                <c:pt idx="22">
                  <c:v>3932.56</c:v>
                </c:pt>
                <c:pt idx="23">
                  <c:v>4133.13</c:v>
                </c:pt>
                <c:pt idx="24">
                  <c:v>4333.7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901-4FAA-AF63-7D8B4EFF746B}"/>
            </c:ext>
          </c:extLst>
        </c:ser>
        <c:ser>
          <c:idx val="3"/>
          <c:order val="3"/>
          <c:tx>
            <c:strRef>
              <c:f>'Table 1 &amp; 2'!$E$37:$E$38</c:f>
              <c:strCache>
                <c:ptCount val="2"/>
                <c:pt idx="0">
                  <c:v>SUU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'Table 1 &amp; 2'!$A$39:$A$63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'Table 1 &amp; 2'!$E$39:$E$63</c:f>
              <c:numCache>
                <c:formatCode>#,##0.00_);\(#,##0.00\)</c:formatCode>
                <c:ptCount val="25"/>
                <c:pt idx="0" formatCode="&quot;$&quot;#,##0.00_);\(&quot;$&quot;#,##0.00\)">
                  <c:v>513.75</c:v>
                </c:pt>
                <c:pt idx="1">
                  <c:v>832.75</c:v>
                </c:pt>
                <c:pt idx="2">
                  <c:v>1151.75</c:v>
                </c:pt>
                <c:pt idx="3">
                  <c:v>1470.75</c:v>
                </c:pt>
                <c:pt idx="4">
                  <c:v>1789.75</c:v>
                </c:pt>
                <c:pt idx="5">
                  <c:v>2108.75</c:v>
                </c:pt>
                <c:pt idx="6">
                  <c:v>2427.75</c:v>
                </c:pt>
                <c:pt idx="7">
                  <c:v>2746.75</c:v>
                </c:pt>
                <c:pt idx="8">
                  <c:v>3065.75</c:v>
                </c:pt>
                <c:pt idx="9">
                  <c:v>3384.75</c:v>
                </c:pt>
                <c:pt idx="10">
                  <c:v>3384.75</c:v>
                </c:pt>
                <c:pt idx="11">
                  <c:v>3384.75</c:v>
                </c:pt>
                <c:pt idx="12">
                  <c:v>3384.75</c:v>
                </c:pt>
                <c:pt idx="13">
                  <c:v>3384.75</c:v>
                </c:pt>
                <c:pt idx="14">
                  <c:v>3384.75</c:v>
                </c:pt>
                <c:pt idx="15">
                  <c:v>3384.75</c:v>
                </c:pt>
                <c:pt idx="16">
                  <c:v>3384.75</c:v>
                </c:pt>
                <c:pt idx="17">
                  <c:v>3384.75</c:v>
                </c:pt>
                <c:pt idx="18">
                  <c:v>3666.75</c:v>
                </c:pt>
                <c:pt idx="19">
                  <c:v>3948.75</c:v>
                </c:pt>
                <c:pt idx="20">
                  <c:v>4230.75</c:v>
                </c:pt>
                <c:pt idx="21">
                  <c:v>4512.75</c:v>
                </c:pt>
                <c:pt idx="22">
                  <c:v>4794.75</c:v>
                </c:pt>
                <c:pt idx="23">
                  <c:v>5076.75</c:v>
                </c:pt>
                <c:pt idx="24">
                  <c:v>5358.75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901-4FAA-AF63-7D8B4EFF746B}"/>
            </c:ext>
          </c:extLst>
        </c:ser>
        <c:ser>
          <c:idx val="4"/>
          <c:order val="4"/>
          <c:tx>
            <c:strRef>
              <c:f>'Table 1 &amp; 2'!$F$37:$F$38</c:f>
              <c:strCache>
                <c:ptCount val="2"/>
                <c:pt idx="0">
                  <c:v>Snow1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numRef>
              <c:f>'Table 1 &amp; 2'!$A$39:$A$63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'Table 1 &amp; 2'!$F$39:$F$63</c:f>
              <c:numCache>
                <c:formatCode>#,##0.00_);\(#,##0.00\)</c:formatCode>
                <c:ptCount val="25"/>
                <c:pt idx="0" formatCode="&quot;$&quot;#,##0.00_);\(&quot;$&quot;#,##0.00\)">
                  <c:v>313</c:v>
                </c:pt>
                <c:pt idx="1">
                  <c:v>463</c:v>
                </c:pt>
                <c:pt idx="2">
                  <c:v>681</c:v>
                </c:pt>
                <c:pt idx="3">
                  <c:v>851</c:v>
                </c:pt>
                <c:pt idx="4">
                  <c:v>1021</c:v>
                </c:pt>
                <c:pt idx="5">
                  <c:v>1191</c:v>
                </c:pt>
                <c:pt idx="6">
                  <c:v>1361</c:v>
                </c:pt>
                <c:pt idx="7">
                  <c:v>1531</c:v>
                </c:pt>
                <c:pt idx="8">
                  <c:v>1701</c:v>
                </c:pt>
                <c:pt idx="9">
                  <c:v>1871</c:v>
                </c:pt>
                <c:pt idx="10">
                  <c:v>1871</c:v>
                </c:pt>
                <c:pt idx="11">
                  <c:v>1871</c:v>
                </c:pt>
                <c:pt idx="12">
                  <c:v>1871</c:v>
                </c:pt>
                <c:pt idx="13">
                  <c:v>1871</c:v>
                </c:pt>
                <c:pt idx="14">
                  <c:v>1871</c:v>
                </c:pt>
                <c:pt idx="15">
                  <c:v>1871</c:v>
                </c:pt>
                <c:pt idx="16">
                  <c:v>1871</c:v>
                </c:pt>
                <c:pt idx="17">
                  <c:v>1871</c:v>
                </c:pt>
                <c:pt idx="18">
                  <c:v>1871</c:v>
                </c:pt>
                <c:pt idx="19">
                  <c:v>1871</c:v>
                </c:pt>
                <c:pt idx="20">
                  <c:v>2021</c:v>
                </c:pt>
                <c:pt idx="21">
                  <c:v>2171</c:v>
                </c:pt>
                <c:pt idx="22">
                  <c:v>2321</c:v>
                </c:pt>
                <c:pt idx="23">
                  <c:v>2471</c:v>
                </c:pt>
                <c:pt idx="24">
                  <c:v>2621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901-4FAA-AF63-7D8B4EFF746B}"/>
            </c:ext>
          </c:extLst>
        </c:ser>
        <c:ser>
          <c:idx val="5"/>
          <c:order val="5"/>
          <c:tx>
            <c:strRef>
              <c:f>'Table 1 &amp; 2'!$G$37:$G$38</c:f>
              <c:strCache>
                <c:ptCount val="2"/>
                <c:pt idx="0">
                  <c:v>DSU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'Table 1 &amp; 2'!$A$39:$A$63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'Table 1 &amp; 2'!$G$39:$G$63</c:f>
              <c:numCache>
                <c:formatCode>#,##0.00_);\(#,##0.00\)</c:formatCode>
                <c:ptCount val="25"/>
                <c:pt idx="0" formatCode="&quot;$&quot;#,##0.00_);\(&quot;$&quot;#,##0.00\)">
                  <c:v>218.92000000000002</c:v>
                </c:pt>
                <c:pt idx="1">
                  <c:v>437.79</c:v>
                </c:pt>
                <c:pt idx="2">
                  <c:v>656.66</c:v>
                </c:pt>
                <c:pt idx="3">
                  <c:v>875.53</c:v>
                </c:pt>
                <c:pt idx="4">
                  <c:v>1094.3899999999999</c:v>
                </c:pt>
                <c:pt idx="5">
                  <c:v>1313.26</c:v>
                </c:pt>
                <c:pt idx="6">
                  <c:v>1532.1399999999999</c:v>
                </c:pt>
                <c:pt idx="7">
                  <c:v>1751.01</c:v>
                </c:pt>
                <c:pt idx="8">
                  <c:v>1969.8899999999999</c:v>
                </c:pt>
                <c:pt idx="9">
                  <c:v>2188.7600000000002</c:v>
                </c:pt>
                <c:pt idx="10">
                  <c:v>2407.63</c:v>
                </c:pt>
                <c:pt idx="11">
                  <c:v>2626.5</c:v>
                </c:pt>
                <c:pt idx="12">
                  <c:v>2626.5</c:v>
                </c:pt>
                <c:pt idx="13">
                  <c:v>2626.5</c:v>
                </c:pt>
                <c:pt idx="14">
                  <c:v>2626.5</c:v>
                </c:pt>
                <c:pt idx="15">
                  <c:v>2626.5</c:v>
                </c:pt>
                <c:pt idx="16">
                  <c:v>2626.5</c:v>
                </c:pt>
                <c:pt idx="17">
                  <c:v>2626.5</c:v>
                </c:pt>
                <c:pt idx="18">
                  <c:v>2626.5</c:v>
                </c:pt>
                <c:pt idx="19">
                  <c:v>2626.5</c:v>
                </c:pt>
                <c:pt idx="20">
                  <c:v>2812.25</c:v>
                </c:pt>
                <c:pt idx="21">
                  <c:v>2998</c:v>
                </c:pt>
                <c:pt idx="22">
                  <c:v>3183.75</c:v>
                </c:pt>
                <c:pt idx="23">
                  <c:v>3369.5</c:v>
                </c:pt>
                <c:pt idx="24">
                  <c:v>3555.25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901-4FAA-AF63-7D8B4EFF746B}"/>
            </c:ext>
          </c:extLst>
        </c:ser>
        <c:ser>
          <c:idx val="7"/>
          <c:order val="6"/>
          <c:tx>
            <c:strRef>
              <c:f>'Table 1 &amp; 2'!$H$37:$H$38</c:f>
              <c:strCache>
                <c:ptCount val="2"/>
                <c:pt idx="0">
                  <c:v>UVU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'Table 1 &amp; 2'!$A$39:$A$63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'Table 1 &amp; 2'!$H$39:$H$63</c:f>
              <c:numCache>
                <c:formatCode>#,##0.00_);\(#,##0.00\)</c:formatCode>
                <c:ptCount val="25"/>
                <c:pt idx="0" formatCode="&quot;$&quot;#,##0.00_);\(&quot;$&quot;#,##0.00\)">
                  <c:v>423</c:v>
                </c:pt>
                <c:pt idx="1">
                  <c:v>651</c:v>
                </c:pt>
                <c:pt idx="2">
                  <c:v>879</c:v>
                </c:pt>
                <c:pt idx="3">
                  <c:v>1107</c:v>
                </c:pt>
                <c:pt idx="4">
                  <c:v>1335</c:v>
                </c:pt>
                <c:pt idx="5">
                  <c:v>1563</c:v>
                </c:pt>
                <c:pt idx="6">
                  <c:v>1791</c:v>
                </c:pt>
                <c:pt idx="7">
                  <c:v>2019</c:v>
                </c:pt>
                <c:pt idx="8">
                  <c:v>2247</c:v>
                </c:pt>
                <c:pt idx="9">
                  <c:v>2475</c:v>
                </c:pt>
                <c:pt idx="10">
                  <c:v>2669</c:v>
                </c:pt>
                <c:pt idx="11">
                  <c:v>2863</c:v>
                </c:pt>
                <c:pt idx="12">
                  <c:v>2863</c:v>
                </c:pt>
                <c:pt idx="13">
                  <c:v>2863</c:v>
                </c:pt>
                <c:pt idx="14">
                  <c:v>2863</c:v>
                </c:pt>
                <c:pt idx="15">
                  <c:v>2863</c:v>
                </c:pt>
                <c:pt idx="16">
                  <c:v>2863</c:v>
                </c:pt>
                <c:pt idx="17">
                  <c:v>2863</c:v>
                </c:pt>
                <c:pt idx="18">
                  <c:v>3057</c:v>
                </c:pt>
                <c:pt idx="19">
                  <c:v>3251</c:v>
                </c:pt>
                <c:pt idx="20">
                  <c:v>3445</c:v>
                </c:pt>
                <c:pt idx="21">
                  <c:v>3639</c:v>
                </c:pt>
                <c:pt idx="22">
                  <c:v>3833</c:v>
                </c:pt>
                <c:pt idx="23">
                  <c:v>4027</c:v>
                </c:pt>
                <c:pt idx="24">
                  <c:v>4221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901-4FAA-AF63-7D8B4EFF746B}"/>
            </c:ext>
          </c:extLst>
        </c:ser>
        <c:ser>
          <c:idx val="8"/>
          <c:order val="7"/>
          <c:tx>
            <c:strRef>
              <c:f>'Table 1 &amp; 2'!$I$37:$I$38</c:f>
              <c:strCache>
                <c:ptCount val="2"/>
                <c:pt idx="0">
                  <c:v>SLCC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'Table 1 &amp; 2'!$A$39:$A$63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'Table 1 &amp; 2'!$I$39:$I$63</c:f>
              <c:numCache>
                <c:formatCode>#,##0.00_);\(#,##0.00\)</c:formatCode>
                <c:ptCount val="25"/>
                <c:pt idx="0" formatCode="&quot;$&quot;#,##0.00_);\(&quot;$&quot;#,##0.00\)">
                  <c:v>190.5</c:v>
                </c:pt>
                <c:pt idx="1">
                  <c:v>354</c:v>
                </c:pt>
                <c:pt idx="2">
                  <c:v>517.5</c:v>
                </c:pt>
                <c:pt idx="3">
                  <c:v>681</c:v>
                </c:pt>
                <c:pt idx="4">
                  <c:v>844.5</c:v>
                </c:pt>
                <c:pt idx="5">
                  <c:v>1008</c:v>
                </c:pt>
                <c:pt idx="6">
                  <c:v>1171.5</c:v>
                </c:pt>
                <c:pt idx="7">
                  <c:v>1335</c:v>
                </c:pt>
                <c:pt idx="8">
                  <c:v>1498.5</c:v>
                </c:pt>
                <c:pt idx="9">
                  <c:v>1639.5</c:v>
                </c:pt>
                <c:pt idx="10">
                  <c:v>1780.5</c:v>
                </c:pt>
                <c:pt idx="11">
                  <c:v>1921.5</c:v>
                </c:pt>
                <c:pt idx="12">
                  <c:v>1921.5</c:v>
                </c:pt>
                <c:pt idx="13">
                  <c:v>1921.5</c:v>
                </c:pt>
                <c:pt idx="14">
                  <c:v>1921.5</c:v>
                </c:pt>
                <c:pt idx="15">
                  <c:v>1921.5</c:v>
                </c:pt>
                <c:pt idx="16">
                  <c:v>1921.5</c:v>
                </c:pt>
                <c:pt idx="17">
                  <c:v>1921.5</c:v>
                </c:pt>
                <c:pt idx="18">
                  <c:v>2062.5</c:v>
                </c:pt>
                <c:pt idx="19">
                  <c:v>2203.5</c:v>
                </c:pt>
                <c:pt idx="20">
                  <c:v>2344.5</c:v>
                </c:pt>
                <c:pt idx="21">
                  <c:v>2485.5</c:v>
                </c:pt>
                <c:pt idx="22">
                  <c:v>2626.5</c:v>
                </c:pt>
                <c:pt idx="23">
                  <c:v>2767.5</c:v>
                </c:pt>
                <c:pt idx="24">
                  <c:v>2908.5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901-4FAA-AF63-7D8B4EFF74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3270656"/>
        <c:axId val="123272192"/>
      </c:lineChart>
      <c:catAx>
        <c:axId val="123270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123272192"/>
        <c:crosses val="autoZero"/>
        <c:auto val="1"/>
        <c:lblAlgn val="ctr"/>
        <c:lblOffset val="100"/>
        <c:noMultiLvlLbl val="0"/>
      </c:catAx>
      <c:valAx>
        <c:axId val="123272192"/>
        <c:scaling>
          <c:orientation val="minMax"/>
        </c:scaling>
        <c:delete val="0"/>
        <c:axPos val="l"/>
        <c:majorGridlines/>
        <c:numFmt formatCode="&quot;$&quot;#,##0.00_);\(&quot;$&quot;#,##0.00\)" sourceLinked="1"/>
        <c:majorTickMark val="out"/>
        <c:minorTickMark val="none"/>
        <c:tickLblPos val="nextTo"/>
        <c:crossAx val="12327065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304800</xdr:colOff>
      <xdr:row>0</xdr:row>
      <xdr:rowOff>38101</xdr:rowOff>
    </xdr:from>
    <xdr:to>
      <xdr:col>6</xdr:col>
      <xdr:colOff>1315568</xdr:colOff>
      <xdr:row>0</xdr:row>
      <xdr:rowOff>428625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15025" y="38101"/>
          <a:ext cx="1010768" cy="390524"/>
        </a:xfrm>
        <a:prstGeom prst="rect">
          <a:avLst/>
        </a:prstGeom>
      </xdr:spPr>
    </xdr:pic>
    <xdr:clientData/>
  </xdr:twoCellAnchor>
  <xdr:oneCellAnchor>
    <xdr:from>
      <xdr:col>8</xdr:col>
      <xdr:colOff>495300</xdr:colOff>
      <xdr:row>30</xdr:row>
      <xdr:rowOff>200025</xdr:rowOff>
    </xdr:from>
    <xdr:ext cx="184731" cy="264560"/>
    <xdr:sp macro="" textlink="">
      <xdr:nvSpPr>
        <xdr:cNvPr id="3" name="TextBox 2"/>
        <xdr:cNvSpPr txBox="1"/>
      </xdr:nvSpPr>
      <xdr:spPr>
        <a:xfrm>
          <a:off x="788670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495300</xdr:colOff>
      <xdr:row>41</xdr:row>
      <xdr:rowOff>200025</xdr:rowOff>
    </xdr:from>
    <xdr:ext cx="184731" cy="264560"/>
    <xdr:sp macro="" textlink="">
      <xdr:nvSpPr>
        <xdr:cNvPr id="4" name="TextBox 3"/>
        <xdr:cNvSpPr txBox="1"/>
      </xdr:nvSpPr>
      <xdr:spPr>
        <a:xfrm>
          <a:off x="7629525" y="355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495300</xdr:colOff>
      <xdr:row>41</xdr:row>
      <xdr:rowOff>200025</xdr:rowOff>
    </xdr:from>
    <xdr:ext cx="184731" cy="264560"/>
    <xdr:sp macro="" textlink="">
      <xdr:nvSpPr>
        <xdr:cNvPr id="5" name="TextBox 4"/>
        <xdr:cNvSpPr txBox="1"/>
      </xdr:nvSpPr>
      <xdr:spPr>
        <a:xfrm>
          <a:off x="7629525" y="355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495300</xdr:colOff>
      <xdr:row>56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7629525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495300</xdr:colOff>
      <xdr:row>56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7629525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495300</xdr:colOff>
      <xdr:row>55</xdr:row>
      <xdr:rowOff>200025</xdr:rowOff>
    </xdr:from>
    <xdr:ext cx="184731" cy="264560"/>
    <xdr:sp macro="" textlink="">
      <xdr:nvSpPr>
        <xdr:cNvPr id="8" name="TextBox 7"/>
        <xdr:cNvSpPr txBox="1"/>
      </xdr:nvSpPr>
      <xdr:spPr>
        <a:xfrm>
          <a:off x="7629525" y="640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495300</xdr:colOff>
      <xdr:row>55</xdr:row>
      <xdr:rowOff>200025</xdr:rowOff>
    </xdr:from>
    <xdr:ext cx="184731" cy="264560"/>
    <xdr:sp macro="" textlink="">
      <xdr:nvSpPr>
        <xdr:cNvPr id="9" name="TextBox 8"/>
        <xdr:cNvSpPr txBox="1"/>
      </xdr:nvSpPr>
      <xdr:spPr>
        <a:xfrm>
          <a:off x="7629525" y="640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495300</xdr:colOff>
      <xdr:row>23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7629525" y="470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495300</xdr:colOff>
      <xdr:row>22</xdr:row>
      <xdr:rowOff>200025</xdr:rowOff>
    </xdr:from>
    <xdr:ext cx="184731" cy="264560"/>
    <xdr:sp macro="" textlink="">
      <xdr:nvSpPr>
        <xdr:cNvPr id="11" name="TextBox 10"/>
        <xdr:cNvSpPr txBox="1"/>
      </xdr:nvSpPr>
      <xdr:spPr>
        <a:xfrm>
          <a:off x="7629525" y="1320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495300</xdr:colOff>
      <xdr:row>22</xdr:row>
      <xdr:rowOff>200025</xdr:rowOff>
    </xdr:from>
    <xdr:ext cx="184731" cy="264560"/>
    <xdr:sp macro="" textlink="">
      <xdr:nvSpPr>
        <xdr:cNvPr id="12" name="TextBox 11"/>
        <xdr:cNvSpPr txBox="1"/>
      </xdr:nvSpPr>
      <xdr:spPr>
        <a:xfrm>
          <a:off x="7629525" y="1320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304800</xdr:colOff>
      <xdr:row>0</xdr:row>
      <xdr:rowOff>38101</xdr:rowOff>
    </xdr:from>
    <xdr:to>
      <xdr:col>6</xdr:col>
      <xdr:colOff>1315568</xdr:colOff>
      <xdr:row>0</xdr:row>
      <xdr:rowOff>428625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125" y="38101"/>
          <a:ext cx="1010768" cy="390524"/>
        </a:xfrm>
        <a:prstGeom prst="rect">
          <a:avLst/>
        </a:prstGeom>
      </xdr:spPr>
    </xdr:pic>
    <xdr:clientData/>
  </xdr:twoCellAnchor>
  <xdr:oneCellAnchor>
    <xdr:from>
      <xdr:col>8</xdr:col>
      <xdr:colOff>495300</xdr:colOff>
      <xdr:row>30</xdr:row>
      <xdr:rowOff>200025</xdr:rowOff>
    </xdr:from>
    <xdr:ext cx="184731" cy="264560"/>
    <xdr:sp macro="" textlink="">
      <xdr:nvSpPr>
        <xdr:cNvPr id="3" name="TextBox 2"/>
        <xdr:cNvSpPr txBox="1"/>
      </xdr:nvSpPr>
      <xdr:spPr>
        <a:xfrm>
          <a:off x="7629525" y="618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495300</xdr:colOff>
      <xdr:row>41</xdr:row>
      <xdr:rowOff>200025</xdr:rowOff>
    </xdr:from>
    <xdr:ext cx="184731" cy="264560"/>
    <xdr:sp macro="" textlink="">
      <xdr:nvSpPr>
        <xdr:cNvPr id="4" name="TextBox 3"/>
        <xdr:cNvSpPr txBox="1"/>
      </xdr:nvSpPr>
      <xdr:spPr>
        <a:xfrm>
          <a:off x="7629525" y="865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495300</xdr:colOff>
      <xdr:row>41</xdr:row>
      <xdr:rowOff>200025</xdr:rowOff>
    </xdr:from>
    <xdr:ext cx="184731" cy="264560"/>
    <xdr:sp macro="" textlink="">
      <xdr:nvSpPr>
        <xdr:cNvPr id="5" name="TextBox 4"/>
        <xdr:cNvSpPr txBox="1"/>
      </xdr:nvSpPr>
      <xdr:spPr>
        <a:xfrm>
          <a:off x="7629525" y="865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495300</xdr:colOff>
      <xdr:row>56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7629525" y="1223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495300</xdr:colOff>
      <xdr:row>56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7629525" y="1223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495300</xdr:colOff>
      <xdr:row>55</xdr:row>
      <xdr:rowOff>200025</xdr:rowOff>
    </xdr:from>
    <xdr:ext cx="184731" cy="264560"/>
    <xdr:sp macro="" textlink="">
      <xdr:nvSpPr>
        <xdr:cNvPr id="8" name="TextBox 7"/>
        <xdr:cNvSpPr txBox="1"/>
      </xdr:nvSpPr>
      <xdr:spPr>
        <a:xfrm>
          <a:off x="7629525" y="116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495300</xdr:colOff>
      <xdr:row>55</xdr:row>
      <xdr:rowOff>200025</xdr:rowOff>
    </xdr:from>
    <xdr:ext cx="184731" cy="264560"/>
    <xdr:sp macro="" textlink="">
      <xdr:nvSpPr>
        <xdr:cNvPr id="9" name="TextBox 8"/>
        <xdr:cNvSpPr txBox="1"/>
      </xdr:nvSpPr>
      <xdr:spPr>
        <a:xfrm>
          <a:off x="7629525" y="116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495300</xdr:colOff>
      <xdr:row>23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7629525" y="48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495300</xdr:colOff>
      <xdr:row>22</xdr:row>
      <xdr:rowOff>200025</xdr:rowOff>
    </xdr:from>
    <xdr:ext cx="184731" cy="264560"/>
    <xdr:sp macro="" textlink="">
      <xdr:nvSpPr>
        <xdr:cNvPr id="11" name="TextBox 10"/>
        <xdr:cNvSpPr txBox="1"/>
      </xdr:nvSpPr>
      <xdr:spPr>
        <a:xfrm>
          <a:off x="7629525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495300</xdr:colOff>
      <xdr:row>22</xdr:row>
      <xdr:rowOff>200025</xdr:rowOff>
    </xdr:from>
    <xdr:ext cx="184731" cy="264560"/>
    <xdr:sp macro="" textlink="">
      <xdr:nvSpPr>
        <xdr:cNvPr id="12" name="TextBox 11"/>
        <xdr:cNvSpPr txBox="1"/>
      </xdr:nvSpPr>
      <xdr:spPr>
        <a:xfrm>
          <a:off x="7629525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304800</xdr:colOff>
      <xdr:row>0</xdr:row>
      <xdr:rowOff>38101</xdr:rowOff>
    </xdr:from>
    <xdr:to>
      <xdr:col>6</xdr:col>
      <xdr:colOff>1315568</xdr:colOff>
      <xdr:row>0</xdr:row>
      <xdr:rowOff>428625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125" y="38101"/>
          <a:ext cx="1010768" cy="390524"/>
        </a:xfrm>
        <a:prstGeom prst="rect">
          <a:avLst/>
        </a:prstGeom>
      </xdr:spPr>
    </xdr:pic>
    <xdr:clientData/>
  </xdr:twoCellAnchor>
  <xdr:oneCellAnchor>
    <xdr:from>
      <xdr:col>8</xdr:col>
      <xdr:colOff>495300</xdr:colOff>
      <xdr:row>30</xdr:row>
      <xdr:rowOff>200025</xdr:rowOff>
    </xdr:from>
    <xdr:ext cx="184731" cy="264560"/>
    <xdr:sp macro="" textlink="">
      <xdr:nvSpPr>
        <xdr:cNvPr id="3" name="TextBox 2"/>
        <xdr:cNvSpPr txBox="1"/>
      </xdr:nvSpPr>
      <xdr:spPr>
        <a:xfrm>
          <a:off x="7629525" y="618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495300</xdr:colOff>
      <xdr:row>41</xdr:row>
      <xdr:rowOff>200025</xdr:rowOff>
    </xdr:from>
    <xdr:ext cx="184731" cy="264560"/>
    <xdr:sp macro="" textlink="">
      <xdr:nvSpPr>
        <xdr:cNvPr id="4" name="TextBox 3"/>
        <xdr:cNvSpPr txBox="1"/>
      </xdr:nvSpPr>
      <xdr:spPr>
        <a:xfrm>
          <a:off x="7629525" y="865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495300</xdr:colOff>
      <xdr:row>41</xdr:row>
      <xdr:rowOff>200025</xdr:rowOff>
    </xdr:from>
    <xdr:ext cx="184731" cy="264560"/>
    <xdr:sp macro="" textlink="">
      <xdr:nvSpPr>
        <xdr:cNvPr id="5" name="TextBox 4"/>
        <xdr:cNvSpPr txBox="1"/>
      </xdr:nvSpPr>
      <xdr:spPr>
        <a:xfrm>
          <a:off x="7629525" y="865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495300</xdr:colOff>
      <xdr:row>56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7629525" y="1223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495300</xdr:colOff>
      <xdr:row>56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7629525" y="1223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495300</xdr:colOff>
      <xdr:row>55</xdr:row>
      <xdr:rowOff>200025</xdr:rowOff>
    </xdr:from>
    <xdr:ext cx="184731" cy="264560"/>
    <xdr:sp macro="" textlink="">
      <xdr:nvSpPr>
        <xdr:cNvPr id="8" name="TextBox 7"/>
        <xdr:cNvSpPr txBox="1"/>
      </xdr:nvSpPr>
      <xdr:spPr>
        <a:xfrm>
          <a:off x="7629525" y="116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495300</xdr:colOff>
      <xdr:row>55</xdr:row>
      <xdr:rowOff>200025</xdr:rowOff>
    </xdr:from>
    <xdr:ext cx="184731" cy="264560"/>
    <xdr:sp macro="" textlink="">
      <xdr:nvSpPr>
        <xdr:cNvPr id="9" name="TextBox 8"/>
        <xdr:cNvSpPr txBox="1"/>
      </xdr:nvSpPr>
      <xdr:spPr>
        <a:xfrm>
          <a:off x="7629525" y="116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495300</xdr:colOff>
      <xdr:row>23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7629525" y="48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495300</xdr:colOff>
      <xdr:row>22</xdr:row>
      <xdr:rowOff>200025</xdr:rowOff>
    </xdr:from>
    <xdr:ext cx="184731" cy="264560"/>
    <xdr:sp macro="" textlink="">
      <xdr:nvSpPr>
        <xdr:cNvPr id="11" name="TextBox 10"/>
        <xdr:cNvSpPr txBox="1"/>
      </xdr:nvSpPr>
      <xdr:spPr>
        <a:xfrm>
          <a:off x="7629525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495300</xdr:colOff>
      <xdr:row>22</xdr:row>
      <xdr:rowOff>200025</xdr:rowOff>
    </xdr:from>
    <xdr:ext cx="184731" cy="264560"/>
    <xdr:sp macro="" textlink="">
      <xdr:nvSpPr>
        <xdr:cNvPr id="12" name="TextBox 11"/>
        <xdr:cNvSpPr txBox="1"/>
      </xdr:nvSpPr>
      <xdr:spPr>
        <a:xfrm>
          <a:off x="7629525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0</xdr:rowOff>
    </xdr:from>
    <xdr:to>
      <xdr:col>8</xdr:col>
      <xdr:colOff>621847</xdr:colOff>
      <xdr:row>74</xdr:row>
      <xdr:rowOff>117022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76</xdr:row>
      <xdr:rowOff>0</xdr:rowOff>
    </xdr:from>
    <xdr:to>
      <xdr:col>9</xdr:col>
      <xdr:colOff>353786</xdr:colOff>
      <xdr:row>117</xdr:row>
      <xdr:rowOff>99332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23</xdr:row>
      <xdr:rowOff>0</xdr:rowOff>
    </xdr:from>
    <xdr:to>
      <xdr:col>18</xdr:col>
      <xdr:colOff>355147</xdr:colOff>
      <xdr:row>74</xdr:row>
      <xdr:rowOff>117022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76</xdr:row>
      <xdr:rowOff>0</xdr:rowOff>
    </xdr:from>
    <xdr:to>
      <xdr:col>21</xdr:col>
      <xdr:colOff>20411</xdr:colOff>
      <xdr:row>117</xdr:row>
      <xdr:rowOff>99332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</xdr:rowOff>
    </xdr:from>
    <xdr:to>
      <xdr:col>10</xdr:col>
      <xdr:colOff>206375</xdr:colOff>
      <xdr:row>55</xdr:row>
      <xdr:rowOff>174626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174626</xdr:colOff>
      <xdr:row>3</xdr:row>
      <xdr:rowOff>15876</xdr:rowOff>
    </xdr:from>
    <xdr:to>
      <xdr:col>22</xdr:col>
      <xdr:colOff>142875</xdr:colOff>
      <xdr:row>56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10</xdr:col>
      <xdr:colOff>222250</xdr:colOff>
      <xdr:row>43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22</xdr:col>
      <xdr:colOff>95250</xdr:colOff>
      <xdr:row>43</xdr:row>
      <xdr:rowOff>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67</xdr:row>
      <xdr:rowOff>47624</xdr:rowOff>
    </xdr:from>
    <xdr:to>
      <xdr:col>8</xdr:col>
      <xdr:colOff>847725</xdr:colOff>
      <xdr:row>97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2019\Data%20Book%202019\Tab%20E%20-%20Tuition%20and%20Fees\2019%20Tuition%20&amp;%20Fe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2012\2012%20Data%20Book\Tab%20E%20-%20Tuition%20and%20Fees\2012%20Tuition%20&amp;%20Fe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2013\Data%20Book%202013\Tab%20E%20-%20Tuition%20and%20Fees\2011%20Tuition%20Comparison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2012\2012%20Data%20Book\Tab%20E%20-%20Tuition%20and%20Fees\2011%20Tuition%20Comparis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ions"/>
      <sheetName val="Table 1 &amp; 2"/>
      <sheetName val="Table 3"/>
      <sheetName val="Table 4"/>
      <sheetName val="Table 5 &amp; 6"/>
      <sheetName val="Table 7"/>
      <sheetName val="Table 8 &amp; 9"/>
      <sheetName val="Table 10 &amp; 11"/>
      <sheetName val="Sheet1"/>
    </sheetNames>
    <sheetDataSet>
      <sheetData sheetId="0">
        <row r="4">
          <cell r="C4" t="str">
            <v>2018-19</v>
          </cell>
          <cell r="D4" t="str">
            <v>2009-10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ions"/>
      <sheetName val="Table 1 &amp; 2"/>
      <sheetName val="Table 3"/>
      <sheetName val="Table 4"/>
      <sheetName val="Table 5 &amp; 6"/>
      <sheetName val="Table 7"/>
      <sheetName val="Table 8 &amp; 9"/>
      <sheetName val="Table 10 &amp; 11"/>
    </sheetNames>
    <sheetDataSet>
      <sheetData sheetId="0">
        <row r="4">
          <cell r="C4" t="str">
            <v>2011-12</v>
          </cell>
          <cell r="D4" t="str">
            <v>2002-03</v>
          </cell>
        </row>
      </sheetData>
      <sheetData sheetId="1">
        <row r="22">
          <cell r="B22">
            <v>2924.99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ions"/>
      <sheetName val="Table 8 &amp; 9"/>
      <sheetName val="Table 10 &amp; 11"/>
      <sheetName val="Statistics"/>
      <sheetName val="Data"/>
      <sheetName val="References"/>
    </sheetNames>
    <sheetDataSet>
      <sheetData sheetId="0">
        <row r="4">
          <cell r="C4" t="str">
            <v>2010-11</v>
          </cell>
        </row>
      </sheetData>
      <sheetData sheetId="1" refreshError="1"/>
      <sheetData sheetId="2" refreshError="1"/>
      <sheetData sheetId="3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ions"/>
      <sheetName val="Table 8 &amp; 9"/>
      <sheetName val="Table 10 &amp; 11"/>
      <sheetName val="Statistics"/>
      <sheetName val="Data"/>
      <sheetName val="References"/>
    </sheetNames>
    <sheetDataSet>
      <sheetData sheetId="0">
        <row r="4">
          <cell r="C4" t="str">
            <v>2010-11</v>
          </cell>
        </row>
      </sheetData>
      <sheetData sheetId="1" refreshError="1"/>
      <sheetData sheetId="2" refreshError="1"/>
      <sheetData sheetId="3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Q60"/>
  <sheetViews>
    <sheetView showGridLines="0" zoomScaleNormal="100" zoomScaleSheetLayoutView="100" workbookViewId="0">
      <selection sqref="A1:I1"/>
    </sheetView>
  </sheetViews>
  <sheetFormatPr defaultColWidth="0" defaultRowHeight="12.75" customHeight="1" zeroHeight="1" x14ac:dyDescent="0.2"/>
  <cols>
    <col min="1" max="1" width="6.42578125" style="376" customWidth="1"/>
    <col min="2" max="2" width="4.85546875" style="376" customWidth="1"/>
    <col min="3" max="3" width="2.140625" style="376" customWidth="1"/>
    <col min="4" max="4" width="5.85546875" style="376" customWidth="1"/>
    <col min="5" max="5" width="13.28515625" style="376" customWidth="1"/>
    <col min="6" max="6" width="8.85546875" style="376" customWidth="1"/>
    <col min="7" max="7" width="9.140625" style="376" customWidth="1"/>
    <col min="8" max="8" width="7.28515625" style="376" customWidth="1"/>
    <col min="9" max="9" width="3.7109375" style="376" customWidth="1"/>
    <col min="10" max="11" width="9.140625" style="376" customWidth="1"/>
    <col min="12" max="258" width="9.140625" style="376" hidden="1"/>
    <col min="259" max="259" width="2.140625" style="376" hidden="1"/>
    <col min="260" max="260" width="3.7109375" style="376" hidden="1"/>
    <col min="261" max="261" width="13.28515625" style="376" hidden="1"/>
    <col min="262" max="262" width="3.42578125" style="376" hidden="1"/>
    <col min="263" max="263" width="9.140625" style="376" hidden="1"/>
    <col min="264" max="264" width="2.85546875" style="376" hidden="1"/>
    <col min="265" max="265" width="3.7109375" style="376" hidden="1"/>
    <col min="266" max="514" width="9.140625" style="376" hidden="1"/>
    <col min="515" max="515" width="2.140625" style="376" hidden="1"/>
    <col min="516" max="516" width="3.7109375" style="376" hidden="1"/>
    <col min="517" max="517" width="13.28515625" style="376" hidden="1"/>
    <col min="518" max="518" width="3.42578125" style="376" hidden="1"/>
    <col min="519" max="519" width="9.140625" style="376" hidden="1"/>
    <col min="520" max="520" width="2.85546875" style="376" hidden="1"/>
    <col min="521" max="521" width="3.7109375" style="376" hidden="1"/>
    <col min="522" max="770" width="9.140625" style="376" hidden="1"/>
    <col min="771" max="771" width="2.140625" style="376" hidden="1"/>
    <col min="772" max="772" width="3.7109375" style="376" hidden="1"/>
    <col min="773" max="773" width="13.28515625" style="376" hidden="1"/>
    <col min="774" max="774" width="3.42578125" style="376" hidden="1"/>
    <col min="775" max="775" width="9.140625" style="376" hidden="1"/>
    <col min="776" max="776" width="2.85546875" style="376" hidden="1"/>
    <col min="777" max="777" width="3.7109375" style="376" hidden="1"/>
    <col min="778" max="1026" width="9.140625" style="376" hidden="1"/>
    <col min="1027" max="1027" width="2.140625" style="376" hidden="1"/>
    <col min="1028" max="1028" width="3.7109375" style="376" hidden="1"/>
    <col min="1029" max="1029" width="13.28515625" style="376" hidden="1"/>
    <col min="1030" max="1030" width="3.42578125" style="376" hidden="1"/>
    <col min="1031" max="1031" width="9.140625" style="376" hidden="1"/>
    <col min="1032" max="1032" width="2.85546875" style="376" hidden="1"/>
    <col min="1033" max="1033" width="3.7109375" style="376" hidden="1"/>
    <col min="1034" max="1282" width="9.140625" style="376" hidden="1"/>
    <col min="1283" max="1283" width="2.140625" style="376" hidden="1"/>
    <col min="1284" max="1284" width="3.7109375" style="376" hidden="1"/>
    <col min="1285" max="1285" width="13.28515625" style="376" hidden="1"/>
    <col min="1286" max="1286" width="3.42578125" style="376" hidden="1"/>
    <col min="1287" max="1287" width="9.140625" style="376" hidden="1"/>
    <col min="1288" max="1288" width="2.85546875" style="376" hidden="1"/>
    <col min="1289" max="1289" width="3.7109375" style="376" hidden="1"/>
    <col min="1290" max="1538" width="9.140625" style="376" hidden="1"/>
    <col min="1539" max="1539" width="2.140625" style="376" hidden="1"/>
    <col min="1540" max="1540" width="3.7109375" style="376" hidden="1"/>
    <col min="1541" max="1541" width="13.28515625" style="376" hidden="1"/>
    <col min="1542" max="1542" width="3.42578125" style="376" hidden="1"/>
    <col min="1543" max="1543" width="9.140625" style="376" hidden="1"/>
    <col min="1544" max="1544" width="2.85546875" style="376" hidden="1"/>
    <col min="1545" max="1545" width="3.7109375" style="376" hidden="1"/>
    <col min="1546" max="1794" width="9.140625" style="376" hidden="1"/>
    <col min="1795" max="1795" width="2.140625" style="376" hidden="1"/>
    <col min="1796" max="1796" width="3.7109375" style="376" hidden="1"/>
    <col min="1797" max="1797" width="13.28515625" style="376" hidden="1"/>
    <col min="1798" max="1798" width="3.42578125" style="376" hidden="1"/>
    <col min="1799" max="1799" width="9.140625" style="376" hidden="1"/>
    <col min="1800" max="1800" width="2.85546875" style="376" hidden="1"/>
    <col min="1801" max="1801" width="3.7109375" style="376" hidden="1"/>
    <col min="1802" max="2050" width="9.140625" style="376" hidden="1"/>
    <col min="2051" max="2051" width="2.140625" style="376" hidden="1"/>
    <col min="2052" max="2052" width="3.7109375" style="376" hidden="1"/>
    <col min="2053" max="2053" width="13.28515625" style="376" hidden="1"/>
    <col min="2054" max="2054" width="3.42578125" style="376" hidden="1"/>
    <col min="2055" max="2055" width="9.140625" style="376" hidden="1"/>
    <col min="2056" max="2056" width="2.85546875" style="376" hidden="1"/>
    <col min="2057" max="2057" width="3.7109375" style="376" hidden="1"/>
    <col min="2058" max="2306" width="9.140625" style="376" hidden="1"/>
    <col min="2307" max="2307" width="2.140625" style="376" hidden="1"/>
    <col min="2308" max="2308" width="3.7109375" style="376" hidden="1"/>
    <col min="2309" max="2309" width="13.28515625" style="376" hidden="1"/>
    <col min="2310" max="2310" width="3.42578125" style="376" hidden="1"/>
    <col min="2311" max="2311" width="9.140625" style="376" hidden="1"/>
    <col min="2312" max="2312" width="2.85546875" style="376" hidden="1"/>
    <col min="2313" max="2313" width="3.7109375" style="376" hidden="1"/>
    <col min="2314" max="2562" width="9.140625" style="376" hidden="1"/>
    <col min="2563" max="2563" width="2.140625" style="376" hidden="1"/>
    <col min="2564" max="2564" width="3.7109375" style="376" hidden="1"/>
    <col min="2565" max="2565" width="13.28515625" style="376" hidden="1"/>
    <col min="2566" max="2566" width="3.42578125" style="376" hidden="1"/>
    <col min="2567" max="2567" width="9.140625" style="376" hidden="1"/>
    <col min="2568" max="2568" width="2.85546875" style="376" hidden="1"/>
    <col min="2569" max="2569" width="3.7109375" style="376" hidden="1"/>
    <col min="2570" max="2818" width="9.140625" style="376" hidden="1"/>
    <col min="2819" max="2819" width="2.140625" style="376" hidden="1"/>
    <col min="2820" max="2820" width="3.7109375" style="376" hidden="1"/>
    <col min="2821" max="2821" width="13.28515625" style="376" hidden="1"/>
    <col min="2822" max="2822" width="3.42578125" style="376" hidden="1"/>
    <col min="2823" max="2823" width="9.140625" style="376" hidden="1"/>
    <col min="2824" max="2824" width="2.85546875" style="376" hidden="1"/>
    <col min="2825" max="2825" width="3.7109375" style="376" hidden="1"/>
    <col min="2826" max="3074" width="9.140625" style="376" hidden="1"/>
    <col min="3075" max="3075" width="2.140625" style="376" hidden="1"/>
    <col min="3076" max="3076" width="3.7109375" style="376" hidden="1"/>
    <col min="3077" max="3077" width="13.28515625" style="376" hidden="1"/>
    <col min="3078" max="3078" width="3.42578125" style="376" hidden="1"/>
    <col min="3079" max="3079" width="9.140625" style="376" hidden="1"/>
    <col min="3080" max="3080" width="2.85546875" style="376" hidden="1"/>
    <col min="3081" max="3081" width="3.7109375" style="376" hidden="1"/>
    <col min="3082" max="3330" width="9.140625" style="376" hidden="1"/>
    <col min="3331" max="3331" width="2.140625" style="376" hidden="1"/>
    <col min="3332" max="3332" width="3.7109375" style="376" hidden="1"/>
    <col min="3333" max="3333" width="13.28515625" style="376" hidden="1"/>
    <col min="3334" max="3334" width="3.42578125" style="376" hidden="1"/>
    <col min="3335" max="3335" width="9.140625" style="376" hidden="1"/>
    <col min="3336" max="3336" width="2.85546875" style="376" hidden="1"/>
    <col min="3337" max="3337" width="3.7109375" style="376" hidden="1"/>
    <col min="3338" max="3586" width="9.140625" style="376" hidden="1"/>
    <col min="3587" max="3587" width="2.140625" style="376" hidden="1"/>
    <col min="3588" max="3588" width="3.7109375" style="376" hidden="1"/>
    <col min="3589" max="3589" width="13.28515625" style="376" hidden="1"/>
    <col min="3590" max="3590" width="3.42578125" style="376" hidden="1"/>
    <col min="3591" max="3591" width="9.140625" style="376" hidden="1"/>
    <col min="3592" max="3592" width="2.85546875" style="376" hidden="1"/>
    <col min="3593" max="3593" width="3.7109375" style="376" hidden="1"/>
    <col min="3594" max="3842" width="9.140625" style="376" hidden="1"/>
    <col min="3843" max="3843" width="2.140625" style="376" hidden="1"/>
    <col min="3844" max="3844" width="3.7109375" style="376" hidden="1"/>
    <col min="3845" max="3845" width="13.28515625" style="376" hidden="1"/>
    <col min="3846" max="3846" width="3.42578125" style="376" hidden="1"/>
    <col min="3847" max="3847" width="9.140625" style="376" hidden="1"/>
    <col min="3848" max="3848" width="2.85546875" style="376" hidden="1"/>
    <col min="3849" max="3849" width="3.7109375" style="376" hidden="1"/>
    <col min="3850" max="4098" width="9.140625" style="376" hidden="1"/>
    <col min="4099" max="4099" width="2.140625" style="376" hidden="1"/>
    <col min="4100" max="4100" width="3.7109375" style="376" hidden="1"/>
    <col min="4101" max="4101" width="13.28515625" style="376" hidden="1"/>
    <col min="4102" max="4102" width="3.42578125" style="376" hidden="1"/>
    <col min="4103" max="4103" width="9.140625" style="376" hidden="1"/>
    <col min="4104" max="4104" width="2.85546875" style="376" hidden="1"/>
    <col min="4105" max="4105" width="3.7109375" style="376" hidden="1"/>
    <col min="4106" max="4354" width="9.140625" style="376" hidden="1"/>
    <col min="4355" max="4355" width="2.140625" style="376" hidden="1"/>
    <col min="4356" max="4356" width="3.7109375" style="376" hidden="1"/>
    <col min="4357" max="4357" width="13.28515625" style="376" hidden="1"/>
    <col min="4358" max="4358" width="3.42578125" style="376" hidden="1"/>
    <col min="4359" max="4359" width="9.140625" style="376" hidden="1"/>
    <col min="4360" max="4360" width="2.85546875" style="376" hidden="1"/>
    <col min="4361" max="4361" width="3.7109375" style="376" hidden="1"/>
    <col min="4362" max="4610" width="9.140625" style="376" hidden="1"/>
    <col min="4611" max="4611" width="2.140625" style="376" hidden="1"/>
    <col min="4612" max="4612" width="3.7109375" style="376" hidden="1"/>
    <col min="4613" max="4613" width="13.28515625" style="376" hidden="1"/>
    <col min="4614" max="4614" width="3.42578125" style="376" hidden="1"/>
    <col min="4615" max="4615" width="9.140625" style="376" hidden="1"/>
    <col min="4616" max="4616" width="2.85546875" style="376" hidden="1"/>
    <col min="4617" max="4617" width="3.7109375" style="376" hidden="1"/>
    <col min="4618" max="4866" width="9.140625" style="376" hidden="1"/>
    <col min="4867" max="4867" width="2.140625" style="376" hidden="1"/>
    <col min="4868" max="4868" width="3.7109375" style="376" hidden="1"/>
    <col min="4869" max="4869" width="13.28515625" style="376" hidden="1"/>
    <col min="4870" max="4870" width="3.42578125" style="376" hidden="1"/>
    <col min="4871" max="4871" width="9.140625" style="376" hidden="1"/>
    <col min="4872" max="4872" width="2.85546875" style="376" hidden="1"/>
    <col min="4873" max="4873" width="3.7109375" style="376" hidden="1"/>
    <col min="4874" max="5122" width="9.140625" style="376" hidden="1"/>
    <col min="5123" max="5123" width="2.140625" style="376" hidden="1"/>
    <col min="5124" max="5124" width="3.7109375" style="376" hidden="1"/>
    <col min="5125" max="5125" width="13.28515625" style="376" hidden="1"/>
    <col min="5126" max="5126" width="3.42578125" style="376" hidden="1"/>
    <col min="5127" max="5127" width="9.140625" style="376" hidden="1"/>
    <col min="5128" max="5128" width="2.85546875" style="376" hidden="1"/>
    <col min="5129" max="5129" width="3.7109375" style="376" hidden="1"/>
    <col min="5130" max="5378" width="9.140625" style="376" hidden="1"/>
    <col min="5379" max="5379" width="2.140625" style="376" hidden="1"/>
    <col min="5380" max="5380" width="3.7109375" style="376" hidden="1"/>
    <col min="5381" max="5381" width="13.28515625" style="376" hidden="1"/>
    <col min="5382" max="5382" width="3.42578125" style="376" hidden="1"/>
    <col min="5383" max="5383" width="9.140625" style="376" hidden="1"/>
    <col min="5384" max="5384" width="2.85546875" style="376" hidden="1"/>
    <col min="5385" max="5385" width="3.7109375" style="376" hidden="1"/>
    <col min="5386" max="5634" width="9.140625" style="376" hidden="1"/>
    <col min="5635" max="5635" width="2.140625" style="376" hidden="1"/>
    <col min="5636" max="5636" width="3.7109375" style="376" hidden="1"/>
    <col min="5637" max="5637" width="13.28515625" style="376" hidden="1"/>
    <col min="5638" max="5638" width="3.42578125" style="376" hidden="1"/>
    <col min="5639" max="5639" width="9.140625" style="376" hidden="1"/>
    <col min="5640" max="5640" width="2.85546875" style="376" hidden="1"/>
    <col min="5641" max="5641" width="3.7109375" style="376" hidden="1"/>
    <col min="5642" max="5890" width="9.140625" style="376" hidden="1"/>
    <col min="5891" max="5891" width="2.140625" style="376" hidden="1"/>
    <col min="5892" max="5892" width="3.7109375" style="376" hidden="1"/>
    <col min="5893" max="5893" width="13.28515625" style="376" hidden="1"/>
    <col min="5894" max="5894" width="3.42578125" style="376" hidden="1"/>
    <col min="5895" max="5895" width="9.140625" style="376" hidden="1"/>
    <col min="5896" max="5896" width="2.85546875" style="376" hidden="1"/>
    <col min="5897" max="5897" width="3.7109375" style="376" hidden="1"/>
    <col min="5898" max="6146" width="9.140625" style="376" hidden="1"/>
    <col min="6147" max="6147" width="2.140625" style="376" hidden="1"/>
    <col min="6148" max="6148" width="3.7109375" style="376" hidden="1"/>
    <col min="6149" max="6149" width="13.28515625" style="376" hidden="1"/>
    <col min="6150" max="6150" width="3.42578125" style="376" hidden="1"/>
    <col min="6151" max="6151" width="9.140625" style="376" hidden="1"/>
    <col min="6152" max="6152" width="2.85546875" style="376" hidden="1"/>
    <col min="6153" max="6153" width="3.7109375" style="376" hidden="1"/>
    <col min="6154" max="6402" width="9.140625" style="376" hidden="1"/>
    <col min="6403" max="6403" width="2.140625" style="376" hidden="1"/>
    <col min="6404" max="6404" width="3.7109375" style="376" hidden="1"/>
    <col min="6405" max="6405" width="13.28515625" style="376" hidden="1"/>
    <col min="6406" max="6406" width="3.42578125" style="376" hidden="1"/>
    <col min="6407" max="6407" width="9.140625" style="376" hidden="1"/>
    <col min="6408" max="6408" width="2.85546875" style="376" hidden="1"/>
    <col min="6409" max="6409" width="3.7109375" style="376" hidden="1"/>
    <col min="6410" max="6658" width="9.140625" style="376" hidden="1"/>
    <col min="6659" max="6659" width="2.140625" style="376" hidden="1"/>
    <col min="6660" max="6660" width="3.7109375" style="376" hidden="1"/>
    <col min="6661" max="6661" width="13.28515625" style="376" hidden="1"/>
    <col min="6662" max="6662" width="3.42578125" style="376" hidden="1"/>
    <col min="6663" max="6663" width="9.140625" style="376" hidden="1"/>
    <col min="6664" max="6664" width="2.85546875" style="376" hidden="1"/>
    <col min="6665" max="6665" width="3.7109375" style="376" hidden="1"/>
    <col min="6666" max="6914" width="9.140625" style="376" hidden="1"/>
    <col min="6915" max="6915" width="2.140625" style="376" hidden="1"/>
    <col min="6916" max="6916" width="3.7109375" style="376" hidden="1"/>
    <col min="6917" max="6917" width="13.28515625" style="376" hidden="1"/>
    <col min="6918" max="6918" width="3.42578125" style="376" hidden="1"/>
    <col min="6919" max="6919" width="9.140625" style="376" hidden="1"/>
    <col min="6920" max="6920" width="2.85546875" style="376" hidden="1"/>
    <col min="6921" max="6921" width="3.7109375" style="376" hidden="1"/>
    <col min="6922" max="7170" width="9.140625" style="376" hidden="1"/>
    <col min="7171" max="7171" width="2.140625" style="376" hidden="1"/>
    <col min="7172" max="7172" width="3.7109375" style="376" hidden="1"/>
    <col min="7173" max="7173" width="13.28515625" style="376" hidden="1"/>
    <col min="7174" max="7174" width="3.42578125" style="376" hidden="1"/>
    <col min="7175" max="7175" width="9.140625" style="376" hidden="1"/>
    <col min="7176" max="7176" width="2.85546875" style="376" hidden="1"/>
    <col min="7177" max="7177" width="3.7109375" style="376" hidden="1"/>
    <col min="7178" max="7426" width="9.140625" style="376" hidden="1"/>
    <col min="7427" max="7427" width="2.140625" style="376" hidden="1"/>
    <col min="7428" max="7428" width="3.7109375" style="376" hidden="1"/>
    <col min="7429" max="7429" width="13.28515625" style="376" hidden="1"/>
    <col min="7430" max="7430" width="3.42578125" style="376" hidden="1"/>
    <col min="7431" max="7431" width="9.140625" style="376" hidden="1"/>
    <col min="7432" max="7432" width="2.85546875" style="376" hidden="1"/>
    <col min="7433" max="7433" width="3.7109375" style="376" hidden="1"/>
    <col min="7434" max="7682" width="9.140625" style="376" hidden="1"/>
    <col min="7683" max="7683" width="2.140625" style="376" hidden="1"/>
    <col min="7684" max="7684" width="3.7109375" style="376" hidden="1"/>
    <col min="7685" max="7685" width="13.28515625" style="376" hidden="1"/>
    <col min="7686" max="7686" width="3.42578125" style="376" hidden="1"/>
    <col min="7687" max="7687" width="9.140625" style="376" hidden="1"/>
    <col min="7688" max="7688" width="2.85546875" style="376" hidden="1"/>
    <col min="7689" max="7689" width="3.7109375" style="376" hidden="1"/>
    <col min="7690" max="7938" width="9.140625" style="376" hidden="1"/>
    <col min="7939" max="7939" width="2.140625" style="376" hidden="1"/>
    <col min="7940" max="7940" width="3.7109375" style="376" hidden="1"/>
    <col min="7941" max="7941" width="13.28515625" style="376" hidden="1"/>
    <col min="7942" max="7942" width="3.42578125" style="376" hidden="1"/>
    <col min="7943" max="7943" width="9.140625" style="376" hidden="1"/>
    <col min="7944" max="7944" width="2.85546875" style="376" hidden="1"/>
    <col min="7945" max="7945" width="3.7109375" style="376" hidden="1"/>
    <col min="7946" max="8194" width="9.140625" style="376" hidden="1"/>
    <col min="8195" max="8195" width="2.140625" style="376" hidden="1"/>
    <col min="8196" max="8196" width="3.7109375" style="376" hidden="1"/>
    <col min="8197" max="8197" width="13.28515625" style="376" hidden="1"/>
    <col min="8198" max="8198" width="3.42578125" style="376" hidden="1"/>
    <col min="8199" max="8199" width="9.140625" style="376" hidden="1"/>
    <col min="8200" max="8200" width="2.85546875" style="376" hidden="1"/>
    <col min="8201" max="8201" width="3.7109375" style="376" hidden="1"/>
    <col min="8202" max="8450" width="9.140625" style="376" hidden="1"/>
    <col min="8451" max="8451" width="2.140625" style="376" hidden="1"/>
    <col min="8452" max="8452" width="3.7109375" style="376" hidden="1"/>
    <col min="8453" max="8453" width="13.28515625" style="376" hidden="1"/>
    <col min="8454" max="8454" width="3.42578125" style="376" hidden="1"/>
    <col min="8455" max="8455" width="9.140625" style="376" hidden="1"/>
    <col min="8456" max="8456" width="2.85546875" style="376" hidden="1"/>
    <col min="8457" max="8457" width="3.7109375" style="376" hidden="1"/>
    <col min="8458" max="8706" width="9.140625" style="376" hidden="1"/>
    <col min="8707" max="8707" width="2.140625" style="376" hidden="1"/>
    <col min="8708" max="8708" width="3.7109375" style="376" hidden="1"/>
    <col min="8709" max="8709" width="13.28515625" style="376" hidden="1"/>
    <col min="8710" max="8710" width="3.42578125" style="376" hidden="1"/>
    <col min="8711" max="8711" width="9.140625" style="376" hidden="1"/>
    <col min="8712" max="8712" width="2.85546875" style="376" hidden="1"/>
    <col min="8713" max="8713" width="3.7109375" style="376" hidden="1"/>
    <col min="8714" max="8962" width="9.140625" style="376" hidden="1"/>
    <col min="8963" max="8963" width="2.140625" style="376" hidden="1"/>
    <col min="8964" max="8964" width="3.7109375" style="376" hidden="1"/>
    <col min="8965" max="8965" width="13.28515625" style="376" hidden="1"/>
    <col min="8966" max="8966" width="3.42578125" style="376" hidden="1"/>
    <col min="8967" max="8967" width="9.140625" style="376" hidden="1"/>
    <col min="8968" max="8968" width="2.85546875" style="376" hidden="1"/>
    <col min="8969" max="8969" width="3.7109375" style="376" hidden="1"/>
    <col min="8970" max="9218" width="9.140625" style="376" hidden="1"/>
    <col min="9219" max="9219" width="2.140625" style="376" hidden="1"/>
    <col min="9220" max="9220" width="3.7109375" style="376" hidden="1"/>
    <col min="9221" max="9221" width="13.28515625" style="376" hidden="1"/>
    <col min="9222" max="9222" width="3.42578125" style="376" hidden="1"/>
    <col min="9223" max="9223" width="9.140625" style="376" hidden="1"/>
    <col min="9224" max="9224" width="2.85546875" style="376" hidden="1"/>
    <col min="9225" max="9225" width="3.7109375" style="376" hidden="1"/>
    <col min="9226" max="9474" width="9.140625" style="376" hidden="1"/>
    <col min="9475" max="9475" width="2.140625" style="376" hidden="1"/>
    <col min="9476" max="9476" width="3.7109375" style="376" hidden="1"/>
    <col min="9477" max="9477" width="13.28515625" style="376" hidden="1"/>
    <col min="9478" max="9478" width="3.42578125" style="376" hidden="1"/>
    <col min="9479" max="9479" width="9.140625" style="376" hidden="1"/>
    <col min="9480" max="9480" width="2.85546875" style="376" hidden="1"/>
    <col min="9481" max="9481" width="3.7109375" style="376" hidden="1"/>
    <col min="9482" max="9730" width="9.140625" style="376" hidden="1"/>
    <col min="9731" max="9731" width="2.140625" style="376" hidden="1"/>
    <col min="9732" max="9732" width="3.7109375" style="376" hidden="1"/>
    <col min="9733" max="9733" width="13.28515625" style="376" hidden="1"/>
    <col min="9734" max="9734" width="3.42578125" style="376" hidden="1"/>
    <col min="9735" max="9735" width="9.140625" style="376" hidden="1"/>
    <col min="9736" max="9736" width="2.85546875" style="376" hidden="1"/>
    <col min="9737" max="9737" width="3.7109375" style="376" hidden="1"/>
    <col min="9738" max="9986" width="9.140625" style="376" hidden="1"/>
    <col min="9987" max="9987" width="2.140625" style="376" hidden="1"/>
    <col min="9988" max="9988" width="3.7109375" style="376" hidden="1"/>
    <col min="9989" max="9989" width="13.28515625" style="376" hidden="1"/>
    <col min="9990" max="9990" width="3.42578125" style="376" hidden="1"/>
    <col min="9991" max="9991" width="9.140625" style="376" hidden="1"/>
    <col min="9992" max="9992" width="2.85546875" style="376" hidden="1"/>
    <col min="9993" max="9993" width="3.7109375" style="376" hidden="1"/>
    <col min="9994" max="10242" width="9.140625" style="376" hidden="1"/>
    <col min="10243" max="10243" width="2.140625" style="376" hidden="1"/>
    <col min="10244" max="10244" width="3.7109375" style="376" hidden="1"/>
    <col min="10245" max="10245" width="13.28515625" style="376" hidden="1"/>
    <col min="10246" max="10246" width="3.42578125" style="376" hidden="1"/>
    <col min="10247" max="10247" width="9.140625" style="376" hidden="1"/>
    <col min="10248" max="10248" width="2.85546875" style="376" hidden="1"/>
    <col min="10249" max="10249" width="3.7109375" style="376" hidden="1"/>
    <col min="10250" max="10498" width="9.140625" style="376" hidden="1"/>
    <col min="10499" max="10499" width="2.140625" style="376" hidden="1"/>
    <col min="10500" max="10500" width="3.7109375" style="376" hidden="1"/>
    <col min="10501" max="10501" width="13.28515625" style="376" hidden="1"/>
    <col min="10502" max="10502" width="3.42578125" style="376" hidden="1"/>
    <col min="10503" max="10503" width="9.140625" style="376" hidden="1"/>
    <col min="10504" max="10504" width="2.85546875" style="376" hidden="1"/>
    <col min="10505" max="10505" width="3.7109375" style="376" hidden="1"/>
    <col min="10506" max="10754" width="9.140625" style="376" hidden="1"/>
    <col min="10755" max="10755" width="2.140625" style="376" hidden="1"/>
    <col min="10756" max="10756" width="3.7109375" style="376" hidden="1"/>
    <col min="10757" max="10757" width="13.28515625" style="376" hidden="1"/>
    <col min="10758" max="10758" width="3.42578125" style="376" hidden="1"/>
    <col min="10759" max="10759" width="9.140625" style="376" hidden="1"/>
    <col min="10760" max="10760" width="2.85546875" style="376" hidden="1"/>
    <col min="10761" max="10761" width="3.7109375" style="376" hidden="1"/>
    <col min="10762" max="11010" width="9.140625" style="376" hidden="1"/>
    <col min="11011" max="11011" width="2.140625" style="376" hidden="1"/>
    <col min="11012" max="11012" width="3.7109375" style="376" hidden="1"/>
    <col min="11013" max="11013" width="13.28515625" style="376" hidden="1"/>
    <col min="11014" max="11014" width="3.42578125" style="376" hidden="1"/>
    <col min="11015" max="11015" width="9.140625" style="376" hidden="1"/>
    <col min="11016" max="11016" width="2.85546875" style="376" hidden="1"/>
    <col min="11017" max="11017" width="3.7109375" style="376" hidden="1"/>
    <col min="11018" max="11266" width="9.140625" style="376" hidden="1"/>
    <col min="11267" max="11267" width="2.140625" style="376" hidden="1"/>
    <col min="11268" max="11268" width="3.7109375" style="376" hidden="1"/>
    <col min="11269" max="11269" width="13.28515625" style="376" hidden="1"/>
    <col min="11270" max="11270" width="3.42578125" style="376" hidden="1"/>
    <col min="11271" max="11271" width="9.140625" style="376" hidden="1"/>
    <col min="11272" max="11272" width="2.85546875" style="376" hidden="1"/>
    <col min="11273" max="11273" width="3.7109375" style="376" hidden="1"/>
    <col min="11274" max="11522" width="9.140625" style="376" hidden="1"/>
    <col min="11523" max="11523" width="2.140625" style="376" hidden="1"/>
    <col min="11524" max="11524" width="3.7109375" style="376" hidden="1"/>
    <col min="11525" max="11525" width="13.28515625" style="376" hidden="1"/>
    <col min="11526" max="11526" width="3.42578125" style="376" hidden="1"/>
    <col min="11527" max="11527" width="9.140625" style="376" hidden="1"/>
    <col min="11528" max="11528" width="2.85546875" style="376" hidden="1"/>
    <col min="11529" max="11529" width="3.7109375" style="376" hidden="1"/>
    <col min="11530" max="11778" width="9.140625" style="376" hidden="1"/>
    <col min="11779" max="11779" width="2.140625" style="376" hidden="1"/>
    <col min="11780" max="11780" width="3.7109375" style="376" hidden="1"/>
    <col min="11781" max="11781" width="13.28515625" style="376" hidden="1"/>
    <col min="11782" max="11782" width="3.42578125" style="376" hidden="1"/>
    <col min="11783" max="11783" width="9.140625" style="376" hidden="1"/>
    <col min="11784" max="11784" width="2.85546875" style="376" hidden="1"/>
    <col min="11785" max="11785" width="3.7109375" style="376" hidden="1"/>
    <col min="11786" max="12034" width="9.140625" style="376" hidden="1"/>
    <col min="12035" max="12035" width="2.140625" style="376" hidden="1"/>
    <col min="12036" max="12036" width="3.7109375" style="376" hidden="1"/>
    <col min="12037" max="12037" width="13.28515625" style="376" hidden="1"/>
    <col min="12038" max="12038" width="3.42578125" style="376" hidden="1"/>
    <col min="12039" max="12039" width="9.140625" style="376" hidden="1"/>
    <col min="12040" max="12040" width="2.85546875" style="376" hidden="1"/>
    <col min="12041" max="12041" width="3.7109375" style="376" hidden="1"/>
    <col min="12042" max="12290" width="9.140625" style="376" hidden="1"/>
    <col min="12291" max="12291" width="2.140625" style="376" hidden="1"/>
    <col min="12292" max="12292" width="3.7109375" style="376" hidden="1"/>
    <col min="12293" max="12293" width="13.28515625" style="376" hidden="1"/>
    <col min="12294" max="12294" width="3.42578125" style="376" hidden="1"/>
    <col min="12295" max="12295" width="9.140625" style="376" hidden="1"/>
    <col min="12296" max="12296" width="2.85546875" style="376" hidden="1"/>
    <col min="12297" max="12297" width="3.7109375" style="376" hidden="1"/>
    <col min="12298" max="12546" width="9.140625" style="376" hidden="1"/>
    <col min="12547" max="12547" width="2.140625" style="376" hidden="1"/>
    <col min="12548" max="12548" width="3.7109375" style="376" hidden="1"/>
    <col min="12549" max="12549" width="13.28515625" style="376" hidden="1"/>
    <col min="12550" max="12550" width="3.42578125" style="376" hidden="1"/>
    <col min="12551" max="12551" width="9.140625" style="376" hidden="1"/>
    <col min="12552" max="12552" width="2.85546875" style="376" hidden="1"/>
    <col min="12553" max="12553" width="3.7109375" style="376" hidden="1"/>
    <col min="12554" max="12802" width="9.140625" style="376" hidden="1"/>
    <col min="12803" max="12803" width="2.140625" style="376" hidden="1"/>
    <col min="12804" max="12804" width="3.7109375" style="376" hidden="1"/>
    <col min="12805" max="12805" width="13.28515625" style="376" hidden="1"/>
    <col min="12806" max="12806" width="3.42578125" style="376" hidden="1"/>
    <col min="12807" max="12807" width="9.140625" style="376" hidden="1"/>
    <col min="12808" max="12808" width="2.85546875" style="376" hidden="1"/>
    <col min="12809" max="12809" width="3.7109375" style="376" hidden="1"/>
    <col min="12810" max="13058" width="9.140625" style="376" hidden="1"/>
    <col min="13059" max="13059" width="2.140625" style="376" hidden="1"/>
    <col min="13060" max="13060" width="3.7109375" style="376" hidden="1"/>
    <col min="13061" max="13061" width="13.28515625" style="376" hidden="1"/>
    <col min="13062" max="13062" width="3.42578125" style="376" hidden="1"/>
    <col min="13063" max="13063" width="9.140625" style="376" hidden="1"/>
    <col min="13064" max="13064" width="2.85546875" style="376" hidden="1"/>
    <col min="13065" max="13065" width="3.7109375" style="376" hidden="1"/>
    <col min="13066" max="13314" width="9.140625" style="376" hidden="1"/>
    <col min="13315" max="13315" width="2.140625" style="376" hidden="1"/>
    <col min="13316" max="13316" width="3.7109375" style="376" hidden="1"/>
    <col min="13317" max="13317" width="13.28515625" style="376" hidden="1"/>
    <col min="13318" max="13318" width="3.42578125" style="376" hidden="1"/>
    <col min="13319" max="13319" width="9.140625" style="376" hidden="1"/>
    <col min="13320" max="13320" width="2.85546875" style="376" hidden="1"/>
    <col min="13321" max="13321" width="3.7109375" style="376" hidden="1"/>
    <col min="13322" max="13570" width="9.140625" style="376" hidden="1"/>
    <col min="13571" max="13571" width="2.140625" style="376" hidden="1"/>
    <col min="13572" max="13572" width="3.7109375" style="376" hidden="1"/>
    <col min="13573" max="13573" width="13.28515625" style="376" hidden="1"/>
    <col min="13574" max="13574" width="3.42578125" style="376" hidden="1"/>
    <col min="13575" max="13575" width="9.140625" style="376" hidden="1"/>
    <col min="13576" max="13576" width="2.85546875" style="376" hidden="1"/>
    <col min="13577" max="13577" width="3.7109375" style="376" hidden="1"/>
    <col min="13578" max="13826" width="9.140625" style="376" hidden="1"/>
    <col min="13827" max="13827" width="2.140625" style="376" hidden="1"/>
    <col min="13828" max="13828" width="3.7109375" style="376" hidden="1"/>
    <col min="13829" max="13829" width="13.28515625" style="376" hidden="1"/>
    <col min="13830" max="13830" width="3.42578125" style="376" hidden="1"/>
    <col min="13831" max="13831" width="9.140625" style="376" hidden="1"/>
    <col min="13832" max="13832" width="2.85546875" style="376" hidden="1"/>
    <col min="13833" max="13833" width="3.7109375" style="376" hidden="1"/>
    <col min="13834" max="14082" width="9.140625" style="376" hidden="1"/>
    <col min="14083" max="14083" width="2.140625" style="376" hidden="1"/>
    <col min="14084" max="14084" width="3.7109375" style="376" hidden="1"/>
    <col min="14085" max="14085" width="13.28515625" style="376" hidden="1"/>
    <col min="14086" max="14086" width="3.42578125" style="376" hidden="1"/>
    <col min="14087" max="14087" width="9.140625" style="376" hidden="1"/>
    <col min="14088" max="14088" width="2.85546875" style="376" hidden="1"/>
    <col min="14089" max="14089" width="3.7109375" style="376" hidden="1"/>
    <col min="14090" max="14338" width="9.140625" style="376" hidden="1"/>
    <col min="14339" max="14339" width="2.140625" style="376" hidden="1"/>
    <col min="14340" max="14340" width="3.7109375" style="376" hidden="1"/>
    <col min="14341" max="14341" width="13.28515625" style="376" hidden="1"/>
    <col min="14342" max="14342" width="3.42578125" style="376" hidden="1"/>
    <col min="14343" max="14343" width="9.140625" style="376" hidden="1"/>
    <col min="14344" max="14344" width="2.85546875" style="376" hidden="1"/>
    <col min="14345" max="14345" width="3.7109375" style="376" hidden="1"/>
    <col min="14346" max="14594" width="9.140625" style="376" hidden="1"/>
    <col min="14595" max="14595" width="2.140625" style="376" hidden="1"/>
    <col min="14596" max="14596" width="3.7109375" style="376" hidden="1"/>
    <col min="14597" max="14597" width="13.28515625" style="376" hidden="1"/>
    <col min="14598" max="14598" width="3.42578125" style="376" hidden="1"/>
    <col min="14599" max="14599" width="9.140625" style="376" hidden="1"/>
    <col min="14600" max="14600" width="2.85546875" style="376" hidden="1"/>
    <col min="14601" max="14601" width="3.7109375" style="376" hidden="1"/>
    <col min="14602" max="14850" width="9.140625" style="376" hidden="1"/>
    <col min="14851" max="14851" width="2.140625" style="376" hidden="1"/>
    <col min="14852" max="14852" width="3.7109375" style="376" hidden="1"/>
    <col min="14853" max="14853" width="13.28515625" style="376" hidden="1"/>
    <col min="14854" max="14854" width="3.42578125" style="376" hidden="1"/>
    <col min="14855" max="14855" width="9.140625" style="376" hidden="1"/>
    <col min="14856" max="14856" width="2.85546875" style="376" hidden="1"/>
    <col min="14857" max="14857" width="3.7109375" style="376" hidden="1"/>
    <col min="14858" max="15106" width="9.140625" style="376" hidden="1"/>
    <col min="15107" max="15107" width="2.140625" style="376" hidden="1"/>
    <col min="15108" max="15108" width="3.7109375" style="376" hidden="1"/>
    <col min="15109" max="15109" width="13.28515625" style="376" hidden="1"/>
    <col min="15110" max="15110" width="3.42578125" style="376" hidden="1"/>
    <col min="15111" max="15111" width="9.140625" style="376" hidden="1"/>
    <col min="15112" max="15112" width="2.85546875" style="376" hidden="1"/>
    <col min="15113" max="15113" width="3.7109375" style="376" hidden="1"/>
    <col min="15114" max="15362" width="9.140625" style="376" hidden="1"/>
    <col min="15363" max="15363" width="2.140625" style="376" hidden="1"/>
    <col min="15364" max="15364" width="3.7109375" style="376" hidden="1"/>
    <col min="15365" max="15365" width="13.28515625" style="376" hidden="1"/>
    <col min="15366" max="15366" width="3.42578125" style="376" hidden="1"/>
    <col min="15367" max="15367" width="9.140625" style="376" hidden="1"/>
    <col min="15368" max="15368" width="2.85546875" style="376" hidden="1"/>
    <col min="15369" max="15369" width="3.7109375" style="376" hidden="1"/>
    <col min="15370" max="15618" width="9.140625" style="376" hidden="1"/>
    <col min="15619" max="15619" width="2.140625" style="376" hidden="1"/>
    <col min="15620" max="15620" width="3.7109375" style="376" hidden="1"/>
    <col min="15621" max="15621" width="13.28515625" style="376" hidden="1"/>
    <col min="15622" max="15622" width="3.42578125" style="376" hidden="1"/>
    <col min="15623" max="15623" width="9.140625" style="376" hidden="1"/>
    <col min="15624" max="15624" width="2.85546875" style="376" hidden="1"/>
    <col min="15625" max="15625" width="3.7109375" style="376" hidden="1"/>
    <col min="15626" max="15874" width="9.140625" style="376" hidden="1"/>
    <col min="15875" max="15875" width="2.140625" style="376" hidden="1"/>
    <col min="15876" max="15876" width="3.7109375" style="376" hidden="1"/>
    <col min="15877" max="15877" width="13.28515625" style="376" hidden="1"/>
    <col min="15878" max="15878" width="3.42578125" style="376" hidden="1"/>
    <col min="15879" max="15879" width="9.140625" style="376" hidden="1"/>
    <col min="15880" max="15880" width="2.85546875" style="376" hidden="1"/>
    <col min="15881" max="15881" width="3.7109375" style="376" hidden="1"/>
    <col min="15882" max="16130" width="9.140625" style="376" hidden="1"/>
    <col min="16131" max="16131" width="2.140625" style="376" hidden="1"/>
    <col min="16132" max="16132" width="3.7109375" style="376" hidden="1"/>
    <col min="16133" max="16133" width="13.28515625" style="376" hidden="1"/>
    <col min="16134" max="16134" width="3.42578125" style="376" hidden="1"/>
    <col min="16135" max="16135" width="9.140625" style="376" hidden="1"/>
    <col min="16136" max="16136" width="2.85546875" style="376" hidden="1"/>
    <col min="16137" max="16137" width="3.7109375" style="376" hidden="1"/>
    <col min="16138" max="16384" width="9.140625" style="376" hidden="1"/>
  </cols>
  <sheetData>
    <row r="1" spans="1:11" ht="39.950000000000003" customHeight="1" thickBot="1" x14ac:dyDescent="0.35">
      <c r="A1" s="968" t="s">
        <v>0</v>
      </c>
      <c r="B1" s="968"/>
      <c r="C1" s="968"/>
      <c r="D1" s="968"/>
      <c r="E1" s="968"/>
      <c r="F1" s="968"/>
      <c r="G1" s="968"/>
      <c r="H1" s="968"/>
      <c r="I1" s="968"/>
      <c r="J1" s="375"/>
      <c r="K1" s="375"/>
    </row>
    <row r="2" spans="1:11" ht="15.75" x14ac:dyDescent="0.25">
      <c r="A2" s="969" t="s">
        <v>645</v>
      </c>
      <c r="B2" s="969"/>
      <c r="C2" s="969"/>
      <c r="D2" s="969"/>
      <c r="E2" s="969"/>
      <c r="F2" s="969"/>
      <c r="G2" s="969"/>
      <c r="H2" s="969"/>
      <c r="I2" s="969"/>
      <c r="J2" s="377"/>
      <c r="K2" s="377"/>
    </row>
    <row r="3" spans="1:11" x14ac:dyDescent="0.2">
      <c r="A3" s="378"/>
      <c r="B3" s="378"/>
      <c r="C3" s="378"/>
      <c r="D3" s="378"/>
      <c r="E3" s="378"/>
      <c r="F3" s="378"/>
      <c r="G3" s="377"/>
      <c r="H3" s="377"/>
      <c r="I3" s="377"/>
      <c r="J3" s="377"/>
      <c r="K3" s="377"/>
    </row>
    <row r="4" spans="1:11" x14ac:dyDescent="0.2">
      <c r="A4" s="379" t="s">
        <v>646</v>
      </c>
      <c r="B4" s="380"/>
      <c r="C4" s="380"/>
      <c r="D4" s="380"/>
      <c r="E4" s="380"/>
      <c r="F4" s="380"/>
      <c r="G4" s="377"/>
      <c r="H4" s="377"/>
      <c r="I4" s="377"/>
      <c r="J4" s="377"/>
      <c r="K4" s="377"/>
    </row>
    <row r="5" spans="1:11" x14ac:dyDescent="0.2">
      <c r="A5" s="381"/>
      <c r="B5" s="381"/>
      <c r="C5" s="381"/>
      <c r="D5" s="381"/>
      <c r="E5" s="381"/>
      <c r="F5" s="381"/>
      <c r="G5" s="377"/>
      <c r="H5" s="377"/>
      <c r="I5" s="377"/>
      <c r="J5" s="377"/>
      <c r="K5" s="377"/>
    </row>
    <row r="6" spans="1:11" ht="12.75" customHeight="1" x14ac:dyDescent="0.2">
      <c r="A6" s="380"/>
      <c r="B6" s="972" t="s">
        <v>1008</v>
      </c>
      <c r="C6" s="972"/>
      <c r="D6" s="972"/>
      <c r="E6" s="972"/>
      <c r="F6" s="972"/>
      <c r="G6" s="972"/>
      <c r="H6" s="972"/>
      <c r="I6" s="972"/>
      <c r="J6" s="972"/>
      <c r="K6" s="972"/>
    </row>
    <row r="7" spans="1:11" x14ac:dyDescent="0.2">
      <c r="A7" s="380"/>
      <c r="B7" s="972"/>
      <c r="C7" s="972"/>
      <c r="D7" s="972"/>
      <c r="E7" s="972"/>
      <c r="F7" s="972"/>
      <c r="G7" s="972"/>
      <c r="H7" s="972"/>
      <c r="I7" s="972"/>
      <c r="J7" s="972"/>
      <c r="K7" s="972"/>
    </row>
    <row r="8" spans="1:11" x14ac:dyDescent="0.2">
      <c r="A8" s="381"/>
      <c r="B8" s="972"/>
      <c r="C8" s="972"/>
      <c r="D8" s="972"/>
      <c r="E8" s="972"/>
      <c r="F8" s="972"/>
      <c r="G8" s="972"/>
      <c r="H8" s="972"/>
      <c r="I8" s="972"/>
      <c r="J8" s="972"/>
      <c r="K8" s="972"/>
    </row>
    <row r="9" spans="1:11" x14ac:dyDescent="0.2">
      <c r="A9" s="381"/>
      <c r="B9" s="972"/>
      <c r="C9" s="972"/>
      <c r="D9" s="972"/>
      <c r="E9" s="972"/>
      <c r="F9" s="972"/>
      <c r="G9" s="972"/>
      <c r="H9" s="972"/>
      <c r="I9" s="972"/>
      <c r="J9" s="972"/>
      <c r="K9" s="972"/>
    </row>
    <row r="10" spans="1:11" x14ac:dyDescent="0.2">
      <c r="A10" s="381"/>
      <c r="B10" s="972"/>
      <c r="C10" s="972"/>
      <c r="D10" s="972"/>
      <c r="E10" s="972"/>
      <c r="F10" s="972"/>
      <c r="G10" s="972"/>
      <c r="H10" s="972"/>
      <c r="I10" s="972"/>
      <c r="J10" s="972"/>
      <c r="K10" s="972"/>
    </row>
    <row r="11" spans="1:11" x14ac:dyDescent="0.2">
      <c r="A11" s="381"/>
      <c r="B11" s="382"/>
      <c r="C11" s="382"/>
      <c r="D11" s="382"/>
      <c r="E11" s="382"/>
      <c r="F11" s="382"/>
      <c r="G11" s="382"/>
      <c r="H11" s="382"/>
      <c r="I11" s="382"/>
      <c r="J11" s="382"/>
      <c r="K11" s="382"/>
    </row>
    <row r="12" spans="1:11" x14ac:dyDescent="0.2">
      <c r="A12" s="379" t="s">
        <v>647</v>
      </c>
      <c r="B12" s="383"/>
      <c r="C12" s="383"/>
      <c r="D12" s="383"/>
      <c r="E12" s="380"/>
      <c r="F12" s="380"/>
      <c r="G12" s="377"/>
      <c r="H12" s="377"/>
      <c r="I12" s="377"/>
      <c r="J12" s="377"/>
      <c r="K12" s="377"/>
    </row>
    <row r="13" spans="1:11" x14ac:dyDescent="0.2">
      <c r="A13" s="381"/>
      <c r="B13" s="381"/>
      <c r="C13" s="381"/>
      <c r="D13" s="381"/>
      <c r="E13" s="381"/>
      <c r="F13" s="381"/>
      <c r="G13" s="377"/>
      <c r="H13" s="377"/>
      <c r="I13" s="377"/>
      <c r="J13" s="377"/>
      <c r="K13" s="377"/>
    </row>
    <row r="14" spans="1:11" ht="12.75" customHeight="1" x14ac:dyDescent="0.2">
      <c r="A14" s="381"/>
      <c r="B14" s="381" t="s">
        <v>648</v>
      </c>
      <c r="C14" s="971" t="s">
        <v>997</v>
      </c>
      <c r="D14" s="971"/>
      <c r="E14" s="971"/>
      <c r="F14" s="971"/>
      <c r="G14" s="971"/>
      <c r="H14" s="971"/>
      <c r="I14" s="971"/>
      <c r="J14" s="971"/>
      <c r="K14" s="971"/>
    </row>
    <row r="15" spans="1:11" x14ac:dyDescent="0.2">
      <c r="A15" s="381"/>
      <c r="B15" s="381"/>
      <c r="C15" s="971"/>
      <c r="D15" s="971"/>
      <c r="E15" s="971"/>
      <c r="F15" s="971"/>
      <c r="G15" s="971"/>
      <c r="H15" s="971"/>
      <c r="I15" s="971"/>
      <c r="J15" s="971"/>
      <c r="K15" s="971"/>
    </row>
    <row r="16" spans="1:11" x14ac:dyDescent="0.2">
      <c r="A16" s="381"/>
      <c r="B16" s="381"/>
      <c r="C16" s="971"/>
      <c r="D16" s="971"/>
      <c r="E16" s="971"/>
      <c r="F16" s="971"/>
      <c r="G16" s="971"/>
      <c r="H16" s="971"/>
      <c r="I16" s="971"/>
      <c r="J16" s="971"/>
      <c r="K16" s="971"/>
    </row>
    <row r="17" spans="1:12" x14ac:dyDescent="0.2">
      <c r="A17" s="381"/>
      <c r="B17" s="381"/>
      <c r="C17" s="937"/>
      <c r="D17" s="937"/>
      <c r="E17" s="937"/>
      <c r="F17" s="937"/>
      <c r="G17" s="937"/>
      <c r="H17" s="937"/>
      <c r="I17" s="937"/>
      <c r="J17" s="937"/>
      <c r="K17" s="937"/>
    </row>
    <row r="18" spans="1:12" ht="12.75" customHeight="1" x14ac:dyDescent="0.2">
      <c r="A18" s="381"/>
      <c r="B18" s="381" t="s">
        <v>649</v>
      </c>
      <c r="C18" s="971" t="s">
        <v>1009</v>
      </c>
      <c r="D18" s="971"/>
      <c r="E18" s="971"/>
      <c r="F18" s="971"/>
      <c r="G18" s="971"/>
      <c r="H18" s="971"/>
      <c r="I18" s="971"/>
      <c r="J18" s="971"/>
      <c r="K18" s="971"/>
      <c r="L18" s="384"/>
    </row>
    <row r="19" spans="1:12" x14ac:dyDescent="0.2">
      <c r="A19" s="381"/>
      <c r="B19" s="381"/>
      <c r="C19" s="971"/>
      <c r="D19" s="971"/>
      <c r="E19" s="971"/>
      <c r="F19" s="971"/>
      <c r="G19" s="971"/>
      <c r="H19" s="971"/>
      <c r="I19" s="971"/>
      <c r="J19" s="971"/>
      <c r="K19" s="971"/>
      <c r="L19" s="385"/>
    </row>
    <row r="20" spans="1:12" x14ac:dyDescent="0.2">
      <c r="A20" s="381"/>
      <c r="B20" s="381"/>
      <c r="C20" s="971"/>
      <c r="D20" s="971"/>
      <c r="E20" s="971"/>
      <c r="F20" s="971"/>
      <c r="G20" s="971"/>
      <c r="H20" s="971"/>
      <c r="I20" s="971"/>
      <c r="J20" s="971"/>
      <c r="K20" s="971"/>
      <c r="L20" s="385"/>
    </row>
    <row r="21" spans="1:12" x14ac:dyDescent="0.2">
      <c r="A21" s="381"/>
      <c r="B21" s="381"/>
      <c r="C21" s="971"/>
      <c r="D21" s="971"/>
      <c r="E21" s="971"/>
      <c r="F21" s="971"/>
      <c r="G21" s="971"/>
      <c r="H21" s="971"/>
      <c r="I21" s="971"/>
      <c r="J21" s="971"/>
      <c r="K21" s="971"/>
      <c r="L21" s="385"/>
    </row>
    <row r="22" spans="1:12" x14ac:dyDescent="0.2">
      <c r="A22" s="381"/>
      <c r="B22" s="381"/>
      <c r="C22" s="938"/>
      <c r="D22" s="938"/>
      <c r="E22" s="938"/>
      <c r="F22" s="938"/>
      <c r="G22" s="938"/>
      <c r="H22" s="938"/>
      <c r="I22" s="938"/>
      <c r="J22" s="938"/>
      <c r="K22" s="938"/>
    </row>
    <row r="23" spans="1:12" x14ac:dyDescent="0.2">
      <c r="A23" s="381"/>
      <c r="B23" s="381" t="s">
        <v>644</v>
      </c>
      <c r="C23" s="970" t="s">
        <v>1007</v>
      </c>
      <c r="D23" s="970"/>
      <c r="E23" s="970"/>
      <c r="F23" s="970"/>
      <c r="G23" s="970"/>
      <c r="H23" s="970"/>
      <c r="I23" s="970"/>
      <c r="J23" s="970"/>
      <c r="K23" s="970"/>
    </row>
    <row r="24" spans="1:12" x14ac:dyDescent="0.2">
      <c r="A24" s="381"/>
      <c r="B24" s="381"/>
      <c r="C24" s="970"/>
      <c r="D24" s="970"/>
      <c r="E24" s="970"/>
      <c r="F24" s="970"/>
      <c r="G24" s="970"/>
      <c r="H24" s="970"/>
      <c r="I24" s="970"/>
      <c r="J24" s="970"/>
      <c r="K24" s="970"/>
    </row>
    <row r="25" spans="1:12" x14ac:dyDescent="0.2">
      <c r="A25" s="381"/>
      <c r="B25" s="381"/>
      <c r="C25" s="953"/>
      <c r="D25" s="953"/>
      <c r="E25" s="953"/>
      <c r="F25" s="953"/>
      <c r="G25" s="953"/>
      <c r="H25" s="953"/>
      <c r="I25" s="953"/>
      <c r="J25" s="953"/>
      <c r="K25" s="953"/>
    </row>
    <row r="26" spans="1:12" x14ac:dyDescent="0.2">
      <c r="A26" s="381"/>
      <c r="B26" s="386" t="s">
        <v>650</v>
      </c>
      <c r="C26" s="970" t="s">
        <v>908</v>
      </c>
      <c r="D26" s="970"/>
      <c r="E26" s="970"/>
      <c r="F26" s="970"/>
      <c r="G26" s="970"/>
      <c r="H26" s="970"/>
      <c r="I26" s="970"/>
      <c r="J26" s="970"/>
      <c r="K26" s="970"/>
    </row>
    <row r="27" spans="1:12" x14ac:dyDescent="0.2">
      <c r="A27" s="381"/>
      <c r="B27" s="386"/>
      <c r="C27" s="970"/>
      <c r="D27" s="970"/>
      <c r="E27" s="970"/>
      <c r="F27" s="970"/>
      <c r="G27" s="970"/>
      <c r="H27" s="970"/>
      <c r="I27" s="970"/>
      <c r="J27" s="970"/>
      <c r="K27" s="970"/>
    </row>
    <row r="28" spans="1:12" ht="12.75" customHeight="1" x14ac:dyDescent="0.2">
      <c r="A28" s="108"/>
      <c r="B28" s="108" t="s">
        <v>651</v>
      </c>
      <c r="C28" s="387" t="s">
        <v>653</v>
      </c>
      <c r="D28" s="388"/>
      <c r="E28" s="388"/>
      <c r="F28" s="388"/>
      <c r="G28" s="388"/>
      <c r="H28" s="388"/>
      <c r="I28" s="388"/>
      <c r="J28" s="388"/>
      <c r="K28" s="388"/>
      <c r="L28" s="108"/>
    </row>
    <row r="29" spans="1:12" x14ac:dyDescent="0.2">
      <c r="A29" s="108"/>
      <c r="B29" s="108"/>
      <c r="C29" s="966" t="s">
        <v>907</v>
      </c>
      <c r="D29" s="966"/>
      <c r="E29" s="966"/>
      <c r="F29" s="966"/>
      <c r="G29" s="966"/>
      <c r="H29" s="966"/>
      <c r="I29" s="966"/>
      <c r="J29" s="966"/>
      <c r="K29" s="966"/>
      <c r="L29" s="387"/>
    </row>
    <row r="30" spans="1:12" x14ac:dyDescent="0.2">
      <c r="A30" s="108"/>
      <c r="B30" s="108"/>
      <c r="C30" s="387" t="s">
        <v>654</v>
      </c>
      <c r="D30" s="388"/>
      <c r="E30" s="388"/>
      <c r="F30" s="388"/>
      <c r="G30" s="388"/>
      <c r="H30" s="388"/>
      <c r="I30" s="388"/>
      <c r="J30" s="388"/>
      <c r="K30" s="388"/>
      <c r="L30" s="108"/>
    </row>
    <row r="31" spans="1:12" x14ac:dyDescent="0.2">
      <c r="B31" s="108"/>
      <c r="C31" s="967" t="s">
        <v>655</v>
      </c>
      <c r="D31" s="967"/>
      <c r="E31" s="967"/>
      <c r="F31" s="967"/>
      <c r="G31" s="967"/>
      <c r="H31" s="967"/>
      <c r="I31" s="967"/>
      <c r="J31" s="967"/>
      <c r="K31" s="967"/>
      <c r="L31" s="389"/>
    </row>
    <row r="32" spans="1:12" x14ac:dyDescent="0.2">
      <c r="B32" s="108"/>
      <c r="C32" s="387"/>
      <c r="D32" s="387"/>
      <c r="E32" s="387"/>
      <c r="F32" s="387"/>
      <c r="G32" s="387"/>
      <c r="H32" s="387"/>
      <c r="I32" s="387"/>
      <c r="J32" s="387"/>
      <c r="K32" s="387"/>
      <c r="L32" s="108"/>
    </row>
    <row r="33" spans="2:12" x14ac:dyDescent="0.2">
      <c r="B33" s="108" t="s">
        <v>652</v>
      </c>
      <c r="C33" s="108" t="s">
        <v>631</v>
      </c>
      <c r="D33" s="108"/>
      <c r="E33" s="390" t="s">
        <v>656</v>
      </c>
      <c r="F33" s="108"/>
      <c r="G33" s="108"/>
      <c r="H33" s="108"/>
      <c r="I33" s="108"/>
      <c r="J33" s="108"/>
      <c r="K33" s="108"/>
      <c r="L33" s="108"/>
    </row>
    <row r="34" spans="2:12" ht="12.75" customHeight="1" x14ac:dyDescent="0.2"/>
    <row r="35" spans="2:12" ht="12.75" customHeight="1" x14ac:dyDescent="0.2">
      <c r="C35" s="892"/>
      <c r="D35" s="891"/>
      <c r="E35" s="891"/>
      <c r="F35" s="891"/>
      <c r="G35" s="891"/>
      <c r="H35" s="891"/>
    </row>
    <row r="36" spans="2:12" ht="12.75" customHeight="1" x14ac:dyDescent="0.2"/>
    <row r="37" spans="2:12" ht="12.75" customHeight="1" x14ac:dyDescent="0.2"/>
    <row r="38" spans="2:12" ht="12.75" customHeight="1" x14ac:dyDescent="0.2"/>
    <row r="39" spans="2:12" ht="12.75" customHeight="1" x14ac:dyDescent="0.2"/>
    <row r="40" spans="2:12" ht="12.75" customHeight="1" x14ac:dyDescent="0.2"/>
    <row r="41" spans="2:12" ht="12.75" customHeight="1" x14ac:dyDescent="0.2"/>
    <row r="42" spans="2:12" ht="12.75" customHeight="1" x14ac:dyDescent="0.2"/>
    <row r="43" spans="2:12" ht="12.75" customHeight="1" x14ac:dyDescent="0.2"/>
    <row r="44" spans="2:12" ht="12.75" customHeight="1" x14ac:dyDescent="0.2"/>
    <row r="45" spans="2:12" ht="12.75" customHeight="1" x14ac:dyDescent="0.2"/>
    <row r="46" spans="2:12" ht="12.75" customHeight="1" x14ac:dyDescent="0.2"/>
    <row r="47" spans="2:12" ht="12.75" customHeight="1" x14ac:dyDescent="0.2"/>
    <row r="48" spans="2:12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</sheetData>
  <sheetProtection selectLockedCells="1"/>
  <mergeCells count="9">
    <mergeCell ref="C29:K29"/>
    <mergeCell ref="C31:K31"/>
    <mergeCell ref="A1:I1"/>
    <mergeCell ref="A2:I2"/>
    <mergeCell ref="C26:K27"/>
    <mergeCell ref="C14:K16"/>
    <mergeCell ref="C18:K21"/>
    <mergeCell ref="B6:K10"/>
    <mergeCell ref="C23:K24"/>
  </mergeCells>
  <printOptions horizontalCentered="1"/>
  <pageMargins left="0.75" right="0.75" top="0.75" bottom="0.75" header="0.3" footer="0.3"/>
  <pageSetup scale="79" orientation="portrait" r:id="rId1"/>
  <headerFooter>
    <oddFooter>&amp;L&amp;"Arial Narrow,Regular"&amp;10Revised: February 9, 2016&amp;R&amp;"Arial Narrow,Regular"&amp;10&amp;F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2"/>
  <sheetViews>
    <sheetView view="pageBreakPreview" zoomScale="80" zoomScaleNormal="100" zoomScaleSheetLayoutView="80" workbookViewId="0"/>
  </sheetViews>
  <sheetFormatPr defaultRowHeight="16.5" x14ac:dyDescent="0.3"/>
  <cols>
    <col min="1" max="1" width="24.28515625" style="124" customWidth="1"/>
    <col min="2" max="7" width="14.7109375" style="124" customWidth="1"/>
    <col min="8" max="8" width="16.7109375" style="124" customWidth="1"/>
    <col min="9" max="9" width="14.7109375" style="124" customWidth="1"/>
    <col min="10" max="16384" width="9.140625" style="124"/>
  </cols>
  <sheetData>
    <row r="1" spans="1:9" x14ac:dyDescent="0.3">
      <c r="A1" s="125" t="s">
        <v>0</v>
      </c>
      <c r="I1" s="933" t="s">
        <v>196</v>
      </c>
    </row>
    <row r="2" spans="1:9" x14ac:dyDescent="0.3">
      <c r="A2" s="899" t="s">
        <v>933</v>
      </c>
    </row>
    <row r="4" spans="1:9" x14ac:dyDescent="0.3">
      <c r="A4" s="904" t="s">
        <v>934</v>
      </c>
      <c r="B4" s="905"/>
      <c r="C4" s="905"/>
      <c r="D4" s="905"/>
      <c r="E4" s="905"/>
      <c r="F4" s="905"/>
      <c r="G4" s="905"/>
      <c r="H4" s="905"/>
      <c r="I4" s="906"/>
    </row>
    <row r="5" spans="1:9" ht="51.75" customHeight="1" x14ac:dyDescent="0.3">
      <c r="A5" s="907"/>
      <c r="B5" s="908" t="s">
        <v>935</v>
      </c>
      <c r="C5" s="908" t="s">
        <v>936</v>
      </c>
      <c r="D5" s="908" t="s">
        <v>937</v>
      </c>
      <c r="E5" s="908" t="s">
        <v>938</v>
      </c>
      <c r="F5" s="908" t="s">
        <v>939</v>
      </c>
      <c r="G5" s="908" t="s">
        <v>975</v>
      </c>
      <c r="H5" s="908" t="s">
        <v>940</v>
      </c>
      <c r="I5" s="909" t="s">
        <v>941</v>
      </c>
    </row>
    <row r="6" spans="1:9" x14ac:dyDescent="0.3">
      <c r="A6" s="907" t="s">
        <v>662</v>
      </c>
      <c r="B6" s="935">
        <f>35634300-595000</f>
        <v>35039300</v>
      </c>
      <c r="C6" s="911">
        <f>+B6*1.05</f>
        <v>36791265</v>
      </c>
      <c r="D6" s="911">
        <f>+B6/$D$10</f>
        <v>3393.3081541739298</v>
      </c>
      <c r="E6" s="912">
        <f>+B6/$E$10</f>
        <v>4801.2195121951218</v>
      </c>
      <c r="F6" s="911">
        <f>+B6/$F$10</f>
        <v>17226.794493608653</v>
      </c>
      <c r="G6" s="911">
        <f>+D6*1.02</f>
        <v>3461.1743172574083</v>
      </c>
      <c r="H6" s="911">
        <f>+E6*1.02</f>
        <v>4897.2439024390242</v>
      </c>
      <c r="I6" s="913">
        <f>+F6*1.02</f>
        <v>17571.330383480828</v>
      </c>
    </row>
    <row r="7" spans="1:9" x14ac:dyDescent="0.3">
      <c r="A7" s="907" t="s">
        <v>942</v>
      </c>
      <c r="B7" s="935">
        <v>31663684</v>
      </c>
      <c r="C7" s="911">
        <f t="shared" ref="C7:C9" si="0">+B7*1.05</f>
        <v>33246868.200000003</v>
      </c>
      <c r="D7" s="911">
        <f t="shared" ref="D7:D9" si="1">+B7/$D$10</f>
        <v>3066.4036412938212</v>
      </c>
      <c r="E7" s="911">
        <f t="shared" ref="E7:E9" si="2">+B7/$E$10</f>
        <v>4338.6796382570565</v>
      </c>
      <c r="F7" s="911">
        <f t="shared" ref="F7:F9" si="3">+B7/$F$10</f>
        <v>15567.199606686332</v>
      </c>
      <c r="G7" s="911">
        <f t="shared" ref="G7:I9" si="4">+D7*1.02</f>
        <v>3127.7317141196977</v>
      </c>
      <c r="H7" s="911">
        <f t="shared" si="4"/>
        <v>4425.4532310221975</v>
      </c>
      <c r="I7" s="913">
        <f t="shared" si="4"/>
        <v>15878.543598820059</v>
      </c>
    </row>
    <row r="8" spans="1:9" x14ac:dyDescent="0.3">
      <c r="A8" s="907" t="s">
        <v>943</v>
      </c>
      <c r="B8" s="910">
        <v>0</v>
      </c>
      <c r="C8" s="911">
        <f t="shared" si="0"/>
        <v>0</v>
      </c>
      <c r="D8" s="911">
        <f t="shared" si="1"/>
        <v>0</v>
      </c>
      <c r="E8" s="911">
        <f t="shared" si="2"/>
        <v>0</v>
      </c>
      <c r="F8" s="911">
        <f t="shared" si="3"/>
        <v>0</v>
      </c>
      <c r="G8" s="911">
        <f t="shared" si="4"/>
        <v>0</v>
      </c>
      <c r="H8" s="911">
        <f t="shared" si="4"/>
        <v>0</v>
      </c>
      <c r="I8" s="913">
        <f t="shared" si="4"/>
        <v>0</v>
      </c>
    </row>
    <row r="9" spans="1:9" x14ac:dyDescent="0.3">
      <c r="A9" s="914" t="s">
        <v>944</v>
      </c>
      <c r="B9" s="911">
        <f>SUM(B6:B8)</f>
        <v>66702984</v>
      </c>
      <c r="C9" s="911">
        <f t="shared" si="0"/>
        <v>70038133.200000003</v>
      </c>
      <c r="D9" s="911">
        <f t="shared" si="1"/>
        <v>6459.7117954677515</v>
      </c>
      <c r="E9" s="911">
        <f t="shared" si="2"/>
        <v>9139.8991504521782</v>
      </c>
      <c r="F9" s="911">
        <f t="shared" si="3"/>
        <v>32793.994100294985</v>
      </c>
      <c r="G9" s="911">
        <f t="shared" si="4"/>
        <v>6588.906031377107</v>
      </c>
      <c r="H9" s="911">
        <f t="shared" si="4"/>
        <v>9322.6971334612226</v>
      </c>
      <c r="I9" s="913">
        <f t="shared" si="4"/>
        <v>33449.873982300887</v>
      </c>
    </row>
    <row r="10" spans="1:9" s="902" customFormat="1" x14ac:dyDescent="0.3">
      <c r="A10" s="915"/>
      <c r="B10" s="911"/>
      <c r="C10" s="911"/>
      <c r="D10" s="935">
        <v>10326</v>
      </c>
      <c r="E10" s="935">
        <v>7298</v>
      </c>
      <c r="F10" s="935">
        <v>2034</v>
      </c>
      <c r="G10" s="911"/>
      <c r="H10" s="911"/>
      <c r="I10" s="913"/>
    </row>
    <row r="11" spans="1:9" x14ac:dyDescent="0.3">
      <c r="A11" s="916"/>
      <c r="B11" s="917"/>
      <c r="C11" s="917"/>
      <c r="D11" s="917"/>
      <c r="E11" s="917"/>
      <c r="F11" s="917"/>
      <c r="G11" s="917"/>
      <c r="H11" s="917"/>
      <c r="I11" s="918"/>
    </row>
    <row r="12" spans="1:9" x14ac:dyDescent="0.3">
      <c r="A12" s="904" t="s">
        <v>976</v>
      </c>
      <c r="B12" s="905"/>
      <c r="C12" s="905"/>
      <c r="D12" s="905"/>
      <c r="E12" s="905"/>
      <c r="F12" s="905"/>
      <c r="G12" s="905"/>
      <c r="H12" s="905"/>
      <c r="I12" s="906"/>
    </row>
    <row r="13" spans="1:9" s="900" customFormat="1" ht="33" x14ac:dyDescent="0.3">
      <c r="A13" s="926" t="s">
        <v>945</v>
      </c>
      <c r="B13" s="908" t="s">
        <v>946</v>
      </c>
      <c r="C13" s="925" t="s">
        <v>662</v>
      </c>
      <c r="D13" s="925" t="s">
        <v>663</v>
      </c>
      <c r="E13" s="925" t="s">
        <v>178</v>
      </c>
      <c r="F13" s="925" t="s">
        <v>751</v>
      </c>
      <c r="G13" s="908" t="s">
        <v>947</v>
      </c>
      <c r="H13" s="908" t="s">
        <v>948</v>
      </c>
      <c r="I13" s="921"/>
    </row>
    <row r="14" spans="1:9" x14ac:dyDescent="0.3">
      <c r="A14" s="922" t="s">
        <v>904</v>
      </c>
      <c r="B14" s="935">
        <v>8025</v>
      </c>
      <c r="C14" s="935"/>
      <c r="D14" s="935"/>
      <c r="E14" s="935"/>
      <c r="F14" s="911">
        <f>SUM(C14:E14)</f>
        <v>0</v>
      </c>
      <c r="G14" s="923">
        <f t="shared" ref="G14:G21" si="5">IF(F14,C14/F14,0)</f>
        <v>0</v>
      </c>
      <c r="H14" s="923">
        <f t="shared" ref="H14:H21" si="6">IF(F14,D14/F14,0)</f>
        <v>0</v>
      </c>
      <c r="I14" s="924"/>
    </row>
    <row r="15" spans="1:9" x14ac:dyDescent="0.3">
      <c r="A15" s="922" t="s">
        <v>945</v>
      </c>
      <c r="B15" s="910"/>
      <c r="C15" s="910"/>
      <c r="D15" s="910"/>
      <c r="E15" s="910"/>
      <c r="F15" s="911">
        <f t="shared" ref="F15:F21" si="7">SUM(C15:E15)</f>
        <v>0</v>
      </c>
      <c r="G15" s="923">
        <f t="shared" si="5"/>
        <v>0</v>
      </c>
      <c r="H15" s="923">
        <f t="shared" si="6"/>
        <v>0</v>
      </c>
      <c r="I15" s="924"/>
    </row>
    <row r="16" spans="1:9" x14ac:dyDescent="0.3">
      <c r="A16" s="922" t="s">
        <v>945</v>
      </c>
      <c r="B16" s="910"/>
      <c r="C16" s="910"/>
      <c r="D16" s="910"/>
      <c r="E16" s="910"/>
      <c r="F16" s="911">
        <f t="shared" ref="F16" si="8">SUM(C16:E16)</f>
        <v>0</v>
      </c>
      <c r="G16" s="923">
        <f t="shared" ref="G16" si="9">IF(F16,C16/F16,0)</f>
        <v>0</v>
      </c>
      <c r="H16" s="923">
        <f t="shared" si="6"/>
        <v>0</v>
      </c>
      <c r="I16" s="924"/>
    </row>
    <row r="17" spans="1:9" x14ac:dyDescent="0.3">
      <c r="A17" s="922" t="s">
        <v>945</v>
      </c>
      <c r="B17" s="910"/>
      <c r="C17" s="910"/>
      <c r="D17" s="910"/>
      <c r="E17" s="910"/>
      <c r="F17" s="911">
        <f t="shared" si="7"/>
        <v>0</v>
      </c>
      <c r="G17" s="923">
        <f t="shared" si="5"/>
        <v>0</v>
      </c>
      <c r="H17" s="923">
        <f t="shared" si="6"/>
        <v>0</v>
      </c>
      <c r="I17" s="924"/>
    </row>
    <row r="18" spans="1:9" x14ac:dyDescent="0.3">
      <c r="A18" s="922" t="s">
        <v>945</v>
      </c>
      <c r="B18" s="910"/>
      <c r="C18" s="910"/>
      <c r="D18" s="910"/>
      <c r="E18" s="910"/>
      <c r="F18" s="911">
        <f t="shared" si="7"/>
        <v>0</v>
      </c>
      <c r="G18" s="923">
        <f t="shared" si="5"/>
        <v>0</v>
      </c>
      <c r="H18" s="923">
        <f t="shared" si="6"/>
        <v>0</v>
      </c>
      <c r="I18" s="924"/>
    </row>
    <row r="19" spans="1:9" x14ac:dyDescent="0.3">
      <c r="A19" s="922" t="s">
        <v>945</v>
      </c>
      <c r="B19" s="910"/>
      <c r="C19" s="910"/>
      <c r="D19" s="910"/>
      <c r="E19" s="910"/>
      <c r="F19" s="911">
        <f t="shared" si="7"/>
        <v>0</v>
      </c>
      <c r="G19" s="923">
        <f t="shared" si="5"/>
        <v>0</v>
      </c>
      <c r="H19" s="923">
        <f t="shared" si="6"/>
        <v>0</v>
      </c>
      <c r="I19" s="924"/>
    </row>
    <row r="20" spans="1:9" x14ac:dyDescent="0.3">
      <c r="A20" s="922" t="s">
        <v>945</v>
      </c>
      <c r="B20" s="910"/>
      <c r="C20" s="910"/>
      <c r="D20" s="910"/>
      <c r="E20" s="910"/>
      <c r="F20" s="911">
        <f t="shared" si="7"/>
        <v>0</v>
      </c>
      <c r="G20" s="923">
        <f t="shared" si="5"/>
        <v>0</v>
      </c>
      <c r="H20" s="923">
        <f t="shared" si="6"/>
        <v>0</v>
      </c>
      <c r="I20" s="924"/>
    </row>
    <row r="21" spans="1:9" x14ac:dyDescent="0.3">
      <c r="A21" s="914" t="s">
        <v>949</v>
      </c>
      <c r="B21" s="911">
        <f>SUM(B14:B20)</f>
        <v>8025</v>
      </c>
      <c r="C21" s="911">
        <f>SUM(C14:C20)</f>
        <v>0</v>
      </c>
      <c r="D21" s="911">
        <f>SUM(D14:D20)</f>
        <v>0</v>
      </c>
      <c r="E21" s="911">
        <f>SUM(E14:E20)</f>
        <v>0</v>
      </c>
      <c r="F21" s="911">
        <f t="shared" si="7"/>
        <v>0</v>
      </c>
      <c r="G21" s="923">
        <f t="shared" si="5"/>
        <v>0</v>
      </c>
      <c r="H21" s="923">
        <f t="shared" si="6"/>
        <v>0</v>
      </c>
      <c r="I21" s="924"/>
    </row>
    <row r="22" spans="1:9" x14ac:dyDescent="0.3">
      <c r="A22" s="914" t="s">
        <v>950</v>
      </c>
      <c r="B22" s="911"/>
      <c r="C22" s="911">
        <f>+C21/$B$21</f>
        <v>0</v>
      </c>
      <c r="D22" s="911">
        <f t="shared" ref="D22:F22" si="10">+D21/$B$21</f>
        <v>0</v>
      </c>
      <c r="E22" s="911">
        <f t="shared" si="10"/>
        <v>0</v>
      </c>
      <c r="F22" s="911">
        <f t="shared" si="10"/>
        <v>0</v>
      </c>
      <c r="G22" s="911"/>
      <c r="H22" s="911"/>
      <c r="I22" s="924"/>
    </row>
    <row r="23" spans="1:9" x14ac:dyDescent="0.3">
      <c r="A23" s="916"/>
      <c r="B23" s="917"/>
      <c r="C23" s="917"/>
      <c r="D23" s="917"/>
      <c r="E23" s="917"/>
      <c r="F23" s="917"/>
      <c r="G23" s="917"/>
      <c r="H23" s="917"/>
      <c r="I23" s="918"/>
    </row>
    <row r="24" spans="1:9" x14ac:dyDescent="0.3">
      <c r="A24" s="904" t="s">
        <v>951</v>
      </c>
      <c r="B24" s="905"/>
      <c r="C24" s="905"/>
      <c r="D24" s="905"/>
      <c r="E24" s="905"/>
      <c r="F24" s="905"/>
      <c r="G24" s="905"/>
      <c r="H24" s="905"/>
      <c r="I24" s="906"/>
    </row>
    <row r="25" spans="1:9" x14ac:dyDescent="0.3">
      <c r="A25" s="907"/>
      <c r="B25" s="1036" t="s">
        <v>952</v>
      </c>
      <c r="C25" s="1037"/>
      <c r="D25" s="1037"/>
      <c r="E25" s="18"/>
      <c r="F25" s="1036" t="s">
        <v>974</v>
      </c>
      <c r="G25" s="1037"/>
      <c r="H25" s="1037"/>
      <c r="I25" s="924"/>
    </row>
    <row r="26" spans="1:9" x14ac:dyDescent="0.3">
      <c r="A26" s="907"/>
      <c r="B26" s="925" t="s">
        <v>662</v>
      </c>
      <c r="C26" s="925" t="s">
        <v>663</v>
      </c>
      <c r="D26" s="925" t="s">
        <v>751</v>
      </c>
      <c r="E26" s="925"/>
      <c r="F26" s="925" t="s">
        <v>662</v>
      </c>
      <c r="G26" s="925" t="s">
        <v>663</v>
      </c>
      <c r="H26" s="925" t="s">
        <v>751</v>
      </c>
      <c r="I26" s="924"/>
    </row>
    <row r="27" spans="1:9" x14ac:dyDescent="0.3">
      <c r="A27" s="907" t="s">
        <v>953</v>
      </c>
      <c r="B27" s="935">
        <f>10700+134900+967079</f>
        <v>1112679</v>
      </c>
      <c r="C27" s="935">
        <v>432218</v>
      </c>
      <c r="D27" s="911">
        <f>+B27+C27</f>
        <v>1544897</v>
      </c>
      <c r="E27" s="911"/>
      <c r="F27" s="910"/>
      <c r="G27" s="910"/>
      <c r="H27" s="911">
        <f>SUM(F27:G27)</f>
        <v>0</v>
      </c>
      <c r="I27" s="924"/>
    </row>
    <row r="28" spans="1:9" x14ac:dyDescent="0.3">
      <c r="A28" s="907" t="s">
        <v>977</v>
      </c>
      <c r="B28" s="935">
        <v>4450000</v>
      </c>
      <c r="C28" s="935"/>
      <c r="D28" s="911">
        <f t="shared" ref="D28:D30" si="11">+B28+C28</f>
        <v>4450000</v>
      </c>
      <c r="E28" s="911"/>
      <c r="F28" s="910"/>
      <c r="G28" s="910"/>
      <c r="H28" s="911">
        <f t="shared" ref="H28:H30" si="12">SUM(F28:G28)</f>
        <v>0</v>
      </c>
      <c r="I28" s="924"/>
    </row>
    <row r="29" spans="1:9" x14ac:dyDescent="0.3">
      <c r="A29" s="907" t="s">
        <v>954</v>
      </c>
      <c r="B29" s="935"/>
      <c r="C29" s="935"/>
      <c r="D29" s="911">
        <f t="shared" si="11"/>
        <v>0</v>
      </c>
      <c r="E29" s="911"/>
      <c r="F29" s="910"/>
      <c r="G29" s="910"/>
      <c r="H29" s="911">
        <f t="shared" si="12"/>
        <v>0</v>
      </c>
      <c r="I29" s="924"/>
    </row>
    <row r="30" spans="1:9" x14ac:dyDescent="0.3">
      <c r="A30" s="907" t="s">
        <v>955</v>
      </c>
      <c r="B30" s="935"/>
      <c r="C30" s="935"/>
      <c r="D30" s="911">
        <f t="shared" si="11"/>
        <v>0</v>
      </c>
      <c r="E30" s="911"/>
      <c r="F30" s="910"/>
      <c r="G30" s="910"/>
      <c r="H30" s="911">
        <f t="shared" si="12"/>
        <v>0</v>
      </c>
      <c r="I30" s="924"/>
    </row>
    <row r="31" spans="1:9" x14ac:dyDescent="0.3">
      <c r="A31" s="914" t="s">
        <v>751</v>
      </c>
      <c r="B31" s="911">
        <f>SUM(B27:B30)</f>
        <v>5562679</v>
      </c>
      <c r="C31" s="911">
        <f t="shared" ref="C31:D31" si="13">SUM(C27:C30)</f>
        <v>432218</v>
      </c>
      <c r="D31" s="911">
        <f t="shared" si="13"/>
        <v>5994897</v>
      </c>
      <c r="E31" s="911"/>
      <c r="F31" s="911">
        <f>SUM(F27:F30)</f>
        <v>0</v>
      </c>
      <c r="G31" s="911">
        <f t="shared" ref="G31:H31" si="14">SUM(G27:G30)</f>
        <v>0</v>
      </c>
      <c r="H31" s="911">
        <f t="shared" si="14"/>
        <v>0</v>
      </c>
      <c r="I31" s="924"/>
    </row>
    <row r="32" spans="1:9" x14ac:dyDescent="0.3">
      <c r="A32" s="907"/>
      <c r="B32" s="18"/>
      <c r="C32" s="18"/>
      <c r="D32" s="18"/>
      <c r="E32" s="18"/>
      <c r="F32" s="18"/>
      <c r="G32" s="18"/>
      <c r="H32" s="18"/>
      <c r="I32" s="924"/>
    </row>
    <row r="33" spans="1:10" ht="32.25" customHeight="1" x14ac:dyDescent="0.3">
      <c r="A33" s="1038" t="s">
        <v>956</v>
      </c>
      <c r="B33" s="1039"/>
      <c r="C33" s="908" t="s">
        <v>957</v>
      </c>
      <c r="D33" s="908" t="s">
        <v>958</v>
      </c>
      <c r="E33" s="925" t="s">
        <v>959</v>
      </c>
      <c r="F33" s="18"/>
      <c r="G33" s="18"/>
      <c r="H33" s="18"/>
      <c r="I33" s="924"/>
    </row>
    <row r="34" spans="1:10" x14ac:dyDescent="0.3">
      <c r="A34" s="1040" t="s">
        <v>960</v>
      </c>
      <c r="B34" s="1037"/>
      <c r="C34" s="910"/>
      <c r="D34" s="923">
        <f>IF(D21,C34/D21-1,0)</f>
        <v>0</v>
      </c>
      <c r="E34" s="911"/>
      <c r="F34" s="18"/>
      <c r="G34" s="18"/>
      <c r="H34" s="18"/>
      <c r="I34" s="924"/>
    </row>
    <row r="35" spans="1:10" x14ac:dyDescent="0.3">
      <c r="A35" s="1038" t="s">
        <v>961</v>
      </c>
      <c r="B35" s="1039"/>
      <c r="C35" s="910"/>
      <c r="D35" s="923">
        <f>IF(C21,C35/C21-1,0)</f>
        <v>0</v>
      </c>
      <c r="E35" s="911"/>
      <c r="F35" s="18"/>
      <c r="G35" s="18"/>
      <c r="H35" s="18"/>
      <c r="I35" s="924"/>
    </row>
    <row r="36" spans="1:10" x14ac:dyDescent="0.3">
      <c r="A36" s="907"/>
      <c r="B36" s="927" t="s">
        <v>962</v>
      </c>
      <c r="C36" s="911">
        <f>SUM(C34:C35)</f>
        <v>0</v>
      </c>
      <c r="D36" s="923">
        <f>IF((C21+D21),C36/(C21+D21),0)</f>
        <v>0</v>
      </c>
      <c r="E36" s="928">
        <v>0.05</v>
      </c>
      <c r="F36" s="18"/>
      <c r="G36" s="18"/>
      <c r="H36" s="18"/>
      <c r="I36" s="924"/>
    </row>
    <row r="37" spans="1:10" x14ac:dyDescent="0.3">
      <c r="A37" s="907"/>
      <c r="B37" s="927"/>
      <c r="C37" s="911"/>
      <c r="D37" s="911"/>
      <c r="E37" s="928"/>
      <c r="F37" s="18"/>
      <c r="G37" s="18"/>
      <c r="H37" s="18"/>
      <c r="I37" s="924"/>
    </row>
    <row r="38" spans="1:10" x14ac:dyDescent="0.3">
      <c r="A38" s="904" t="s">
        <v>983</v>
      </c>
      <c r="B38" s="905"/>
      <c r="C38" s="905"/>
      <c r="D38" s="905"/>
      <c r="E38" s="905"/>
      <c r="F38" s="905"/>
      <c r="G38" s="905"/>
      <c r="H38" s="905"/>
      <c r="I38" s="906"/>
    </row>
    <row r="39" spans="1:10" ht="49.5" x14ac:dyDescent="0.3">
      <c r="A39" s="907"/>
      <c r="B39" s="925" t="s">
        <v>963</v>
      </c>
      <c r="C39" s="925" t="s">
        <v>964</v>
      </c>
      <c r="D39" s="925" t="s">
        <v>965</v>
      </c>
      <c r="E39" s="925" t="s">
        <v>203</v>
      </c>
      <c r="F39" s="925" t="s">
        <v>966</v>
      </c>
      <c r="G39" s="925" t="s">
        <v>967</v>
      </c>
      <c r="H39" s="925" t="s">
        <v>968</v>
      </c>
      <c r="I39" s="909" t="s">
        <v>981</v>
      </c>
      <c r="J39" s="901"/>
    </row>
    <row r="40" spans="1:10" ht="33" x14ac:dyDescent="0.3">
      <c r="A40" s="929" t="s">
        <v>984</v>
      </c>
      <c r="B40" s="935">
        <v>5080</v>
      </c>
      <c r="C40" s="935">
        <v>5253</v>
      </c>
      <c r="D40" s="911">
        <f>+C40-B40</f>
        <v>173</v>
      </c>
      <c r="E40" s="930">
        <f>+D40/B40</f>
        <v>3.4055118110236218E-2</v>
      </c>
      <c r="F40" s="934">
        <v>1.9E-2</v>
      </c>
      <c r="G40" s="934">
        <v>2.8000000000000001E-2</v>
      </c>
      <c r="H40" s="934">
        <v>1.6E-2</v>
      </c>
      <c r="I40" s="936">
        <v>8.4000000000000005E-2</v>
      </c>
    </row>
    <row r="41" spans="1:10" x14ac:dyDescent="0.3">
      <c r="A41" s="929"/>
      <c r="B41" s="18"/>
      <c r="C41" s="18"/>
      <c r="D41" s="18"/>
      <c r="E41" s="18"/>
      <c r="F41" s="18"/>
      <c r="G41" s="18"/>
      <c r="H41" s="18"/>
      <c r="I41" s="924"/>
    </row>
    <row r="42" spans="1:10" x14ac:dyDescent="0.3">
      <c r="A42" s="932" t="s">
        <v>969</v>
      </c>
      <c r="B42" s="18"/>
      <c r="C42" s="18"/>
      <c r="D42" s="18"/>
      <c r="E42" s="18"/>
      <c r="F42" s="18"/>
      <c r="G42" s="18"/>
      <c r="H42" s="18"/>
      <c r="I42" s="924"/>
    </row>
    <row r="43" spans="1:10" ht="33" customHeight="1" x14ac:dyDescent="0.3">
      <c r="A43" s="907"/>
      <c r="B43" s="908" t="s">
        <v>979</v>
      </c>
      <c r="C43" s="908" t="s">
        <v>980</v>
      </c>
      <c r="D43" s="908" t="s">
        <v>978</v>
      </c>
      <c r="E43" s="908" t="s">
        <v>971</v>
      </c>
      <c r="F43" s="908" t="s">
        <v>970</v>
      </c>
      <c r="I43" s="924"/>
    </row>
    <row r="44" spans="1:10" x14ac:dyDescent="0.3">
      <c r="A44" s="907" t="s">
        <v>972</v>
      </c>
      <c r="B44" s="935">
        <v>5253</v>
      </c>
      <c r="C44" s="935">
        <v>7644</v>
      </c>
      <c r="D44" s="935">
        <v>10408</v>
      </c>
      <c r="E44" s="935">
        <v>22</v>
      </c>
      <c r="F44" s="935">
        <v>22</v>
      </c>
      <c r="I44" s="924"/>
    </row>
    <row r="45" spans="1:10" x14ac:dyDescent="0.3">
      <c r="A45" s="907" t="s">
        <v>973</v>
      </c>
      <c r="B45" s="935">
        <v>5253</v>
      </c>
      <c r="C45" s="935">
        <v>7534</v>
      </c>
      <c r="D45" s="935">
        <v>10408</v>
      </c>
      <c r="E45" s="935">
        <v>11</v>
      </c>
      <c r="F45" s="935">
        <v>11</v>
      </c>
      <c r="I45" s="924"/>
    </row>
    <row r="46" spans="1:10" x14ac:dyDescent="0.3">
      <c r="A46" s="907" t="s">
        <v>982</v>
      </c>
      <c r="B46" s="935">
        <v>5080</v>
      </c>
      <c r="C46" s="935">
        <v>7759</v>
      </c>
      <c r="D46" s="935">
        <v>16350</v>
      </c>
      <c r="E46" s="935">
        <v>11</v>
      </c>
      <c r="F46" s="935">
        <v>11</v>
      </c>
      <c r="I46" s="924"/>
    </row>
    <row r="47" spans="1:10" x14ac:dyDescent="0.3">
      <c r="A47" s="907" t="s">
        <v>995</v>
      </c>
      <c r="B47" s="935">
        <v>2083</v>
      </c>
      <c r="C47" s="935">
        <v>9805</v>
      </c>
      <c r="D47" s="935">
        <v>18214</v>
      </c>
      <c r="E47" s="935">
        <v>24</v>
      </c>
      <c r="F47" s="935">
        <v>25</v>
      </c>
      <c r="I47" s="924"/>
    </row>
    <row r="48" spans="1:10" x14ac:dyDescent="0.3">
      <c r="A48" s="916"/>
      <c r="B48" s="917"/>
      <c r="C48" s="917"/>
      <c r="D48" s="917"/>
      <c r="E48" s="917"/>
      <c r="F48" s="917"/>
      <c r="G48" s="917"/>
      <c r="H48" s="917"/>
      <c r="I48" s="918"/>
    </row>
    <row r="49" spans="1:4" x14ac:dyDescent="0.3">
      <c r="A49" s="124" t="s">
        <v>985</v>
      </c>
    </row>
    <row r="50" spans="1:4" x14ac:dyDescent="0.3">
      <c r="A50" s="124" t="s">
        <v>999</v>
      </c>
      <c r="B50" s="903"/>
      <c r="C50" s="903"/>
      <c r="D50" s="903"/>
    </row>
    <row r="51" spans="1:4" x14ac:dyDescent="0.3">
      <c r="A51" s="124" t="s">
        <v>986</v>
      </c>
      <c r="B51" s="903"/>
      <c r="C51" s="903"/>
      <c r="D51" s="903"/>
    </row>
    <row r="52" spans="1:4" x14ac:dyDescent="0.3">
      <c r="A52" s="124" t="s">
        <v>987</v>
      </c>
      <c r="B52" s="903"/>
      <c r="C52" s="903"/>
      <c r="D52" s="903"/>
    </row>
    <row r="53" spans="1:4" x14ac:dyDescent="0.3">
      <c r="A53" s="124" t="s">
        <v>988</v>
      </c>
      <c r="B53" s="903"/>
      <c r="C53" s="903"/>
      <c r="D53" s="903"/>
    </row>
    <row r="54" spans="1:4" x14ac:dyDescent="0.3">
      <c r="A54" s="124" t="s">
        <v>996</v>
      </c>
      <c r="B54" s="903"/>
      <c r="C54" s="903"/>
      <c r="D54" s="903"/>
    </row>
    <row r="55" spans="1:4" x14ac:dyDescent="0.3">
      <c r="B55" s="903"/>
      <c r="C55" s="903"/>
      <c r="D55" s="903"/>
    </row>
    <row r="56" spans="1:4" x14ac:dyDescent="0.3">
      <c r="B56" s="903"/>
      <c r="C56" s="903"/>
      <c r="D56" s="903"/>
    </row>
    <row r="57" spans="1:4" x14ac:dyDescent="0.3">
      <c r="B57" s="903"/>
      <c r="C57" s="903"/>
      <c r="D57" s="903"/>
    </row>
    <row r="58" spans="1:4" x14ac:dyDescent="0.3">
      <c r="B58" s="903"/>
      <c r="C58" s="903"/>
      <c r="D58" s="903"/>
    </row>
    <row r="59" spans="1:4" x14ac:dyDescent="0.3">
      <c r="B59" s="903"/>
      <c r="C59" s="903"/>
      <c r="D59" s="903"/>
    </row>
    <row r="60" spans="1:4" x14ac:dyDescent="0.3">
      <c r="B60" s="903"/>
      <c r="C60" s="903"/>
      <c r="D60" s="903"/>
    </row>
    <row r="61" spans="1:4" x14ac:dyDescent="0.3">
      <c r="B61" s="903"/>
      <c r="C61" s="903"/>
      <c r="D61" s="903"/>
    </row>
    <row r="62" spans="1:4" x14ac:dyDescent="0.3">
      <c r="B62" s="903"/>
      <c r="C62" s="903"/>
      <c r="D62" s="903"/>
    </row>
  </sheetData>
  <mergeCells count="5">
    <mergeCell ref="B25:D25"/>
    <mergeCell ref="F25:H25"/>
    <mergeCell ref="A33:B33"/>
    <mergeCell ref="A34:B34"/>
    <mergeCell ref="A35:B35"/>
  </mergeCells>
  <pageMargins left="0.7" right="0.7" top="0.75" bottom="0.75" header="0.3" footer="0.3"/>
  <pageSetup scale="5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2"/>
  <sheetViews>
    <sheetView view="pageBreakPreview" zoomScale="80" zoomScaleNormal="100" zoomScaleSheetLayoutView="80" workbookViewId="0">
      <selection activeCell="J6" sqref="J6"/>
    </sheetView>
  </sheetViews>
  <sheetFormatPr defaultRowHeight="16.5" x14ac:dyDescent="0.3"/>
  <cols>
    <col min="1" max="1" width="24.28515625" style="124" customWidth="1"/>
    <col min="2" max="7" width="14.7109375" style="124" customWidth="1"/>
    <col min="8" max="8" width="16.7109375" style="124" customWidth="1"/>
    <col min="9" max="9" width="14.7109375" style="124" customWidth="1"/>
    <col min="10" max="16384" width="9.140625" style="124"/>
  </cols>
  <sheetData>
    <row r="1" spans="1:10" x14ac:dyDescent="0.3">
      <c r="A1" s="125" t="s">
        <v>0</v>
      </c>
      <c r="I1" s="933" t="s">
        <v>195</v>
      </c>
    </row>
    <row r="2" spans="1:10" x14ac:dyDescent="0.3">
      <c r="A2" s="899" t="s">
        <v>933</v>
      </c>
    </row>
    <row r="4" spans="1:10" x14ac:dyDescent="0.3">
      <c r="A4" s="904" t="s">
        <v>934</v>
      </c>
      <c r="B4" s="905"/>
      <c r="C4" s="905"/>
      <c r="D4" s="905"/>
      <c r="E4" s="905"/>
      <c r="F4" s="905"/>
      <c r="G4" s="905"/>
      <c r="H4" s="905"/>
      <c r="I4" s="906"/>
    </row>
    <row r="5" spans="1:10" ht="51.75" customHeight="1" x14ac:dyDescent="0.3">
      <c r="A5" s="907"/>
      <c r="B5" s="908" t="s">
        <v>935</v>
      </c>
      <c r="C5" s="908" t="s">
        <v>936</v>
      </c>
      <c r="D5" s="908" t="s">
        <v>937</v>
      </c>
      <c r="E5" s="908" t="s">
        <v>938</v>
      </c>
      <c r="F5" s="908" t="s">
        <v>939</v>
      </c>
      <c r="G5" s="908" t="s">
        <v>975</v>
      </c>
      <c r="H5" s="908" t="s">
        <v>940</v>
      </c>
      <c r="I5" s="909" t="s">
        <v>941</v>
      </c>
    </row>
    <row r="6" spans="1:10" x14ac:dyDescent="0.3">
      <c r="A6" s="907" t="s">
        <v>662</v>
      </c>
      <c r="B6" s="935">
        <f>108032000-1168000</f>
        <v>106864000</v>
      </c>
      <c r="C6" s="911">
        <f>+B6*1.05</f>
        <v>112207200</v>
      </c>
      <c r="D6" s="911">
        <f>+B6/$D$10</f>
        <v>2639.8557347891601</v>
      </c>
      <c r="E6" s="912">
        <f>+B6/$E$10</f>
        <v>4038.0894800483675</v>
      </c>
      <c r="F6" s="911">
        <f>+B6/$F$10</f>
        <v>17564.760026298489</v>
      </c>
      <c r="G6" s="911">
        <f>+D6*1.02</f>
        <v>2692.6528494849435</v>
      </c>
      <c r="H6" s="911">
        <f>+E6*1.02</f>
        <v>4118.8512696493353</v>
      </c>
      <c r="I6" s="913">
        <f>+F6*1.02</f>
        <v>17916.055226824457</v>
      </c>
      <c r="J6" s="124" t="s">
        <v>1010</v>
      </c>
    </row>
    <row r="7" spans="1:10" x14ac:dyDescent="0.3">
      <c r="A7" s="907" t="s">
        <v>942</v>
      </c>
      <c r="B7" s="935">
        <v>134545162</v>
      </c>
      <c r="C7" s="911">
        <f t="shared" ref="C7:C9" si="0">+B7*1.05</f>
        <v>141272420.09999999</v>
      </c>
      <c r="D7" s="911">
        <f t="shared" ref="D7:D9" si="1">+B7/$D$10</f>
        <v>3323.6620142783036</v>
      </c>
      <c r="E7" s="911">
        <f t="shared" ref="E7:E9" si="2">+B7/$E$10</f>
        <v>5084.0826027811363</v>
      </c>
      <c r="F7" s="911">
        <f t="shared" ref="F7:F9" si="3">+B7/$F$10</f>
        <v>22114.589414858645</v>
      </c>
      <c r="G7" s="911">
        <f t="shared" ref="G7:I9" si="4">+D7*1.02</f>
        <v>3390.1352545638697</v>
      </c>
      <c r="H7" s="911">
        <f t="shared" si="4"/>
        <v>5185.7642548367594</v>
      </c>
      <c r="I7" s="913">
        <f t="shared" si="4"/>
        <v>22556.881203155819</v>
      </c>
    </row>
    <row r="8" spans="1:10" x14ac:dyDescent="0.3">
      <c r="A8" s="907" t="s">
        <v>943</v>
      </c>
      <c r="B8" s="910">
        <v>0</v>
      </c>
      <c r="C8" s="911">
        <f t="shared" si="0"/>
        <v>0</v>
      </c>
      <c r="D8" s="911">
        <f t="shared" si="1"/>
        <v>0</v>
      </c>
      <c r="E8" s="911">
        <f t="shared" si="2"/>
        <v>0</v>
      </c>
      <c r="F8" s="911">
        <f t="shared" si="3"/>
        <v>0</v>
      </c>
      <c r="G8" s="911">
        <f t="shared" si="4"/>
        <v>0</v>
      </c>
      <c r="H8" s="911">
        <f t="shared" si="4"/>
        <v>0</v>
      </c>
      <c r="I8" s="913">
        <f t="shared" si="4"/>
        <v>0</v>
      </c>
    </row>
    <row r="9" spans="1:10" x14ac:dyDescent="0.3">
      <c r="A9" s="914" t="s">
        <v>944</v>
      </c>
      <c r="B9" s="911">
        <f>SUM(B6:B8)</f>
        <v>241409162</v>
      </c>
      <c r="C9" s="911">
        <f t="shared" si="0"/>
        <v>253479620.10000002</v>
      </c>
      <c r="D9" s="911">
        <f t="shared" si="1"/>
        <v>5963.5177490674641</v>
      </c>
      <c r="E9" s="911">
        <f t="shared" si="2"/>
        <v>9122.1720828295038</v>
      </c>
      <c r="F9" s="911">
        <f t="shared" si="3"/>
        <v>39679.34944115713</v>
      </c>
      <c r="G9" s="911">
        <f t="shared" si="4"/>
        <v>6082.7881040488137</v>
      </c>
      <c r="H9" s="911">
        <f t="shared" si="4"/>
        <v>9304.6155244860947</v>
      </c>
      <c r="I9" s="913">
        <f t="shared" si="4"/>
        <v>40472.936429980276</v>
      </c>
    </row>
    <row r="10" spans="1:10" s="902" customFormat="1" x14ac:dyDescent="0.3">
      <c r="A10" s="915"/>
      <c r="B10" s="911"/>
      <c r="C10" s="911"/>
      <c r="D10" s="935">
        <v>40481</v>
      </c>
      <c r="E10" s="935">
        <v>26464</v>
      </c>
      <c r="F10" s="935">
        <v>6084</v>
      </c>
      <c r="G10" s="911"/>
      <c r="H10" s="911"/>
      <c r="I10" s="913"/>
    </row>
    <row r="11" spans="1:10" x14ac:dyDescent="0.3">
      <c r="A11" s="916"/>
      <c r="B11" s="917"/>
      <c r="C11" s="917"/>
      <c r="D11" s="917"/>
      <c r="E11" s="917"/>
      <c r="F11" s="917"/>
      <c r="G11" s="917"/>
      <c r="H11" s="917"/>
      <c r="I11" s="918"/>
    </row>
    <row r="12" spans="1:10" x14ac:dyDescent="0.3">
      <c r="A12" s="904" t="s">
        <v>976</v>
      </c>
      <c r="B12" s="905"/>
      <c r="C12" s="905"/>
      <c r="D12" s="905"/>
      <c r="E12" s="905"/>
      <c r="F12" s="905"/>
      <c r="G12" s="905"/>
      <c r="H12" s="905"/>
      <c r="I12" s="906"/>
    </row>
    <row r="13" spans="1:10" s="900" customFormat="1" ht="33" x14ac:dyDescent="0.3">
      <c r="A13" s="926" t="s">
        <v>945</v>
      </c>
      <c r="B13" s="908" t="s">
        <v>946</v>
      </c>
      <c r="C13" s="925" t="s">
        <v>662</v>
      </c>
      <c r="D13" s="925" t="s">
        <v>663</v>
      </c>
      <c r="E13" s="925" t="s">
        <v>178</v>
      </c>
      <c r="F13" s="925" t="s">
        <v>751</v>
      </c>
      <c r="G13" s="908" t="s">
        <v>947</v>
      </c>
      <c r="H13" s="908" t="s">
        <v>948</v>
      </c>
      <c r="I13" s="921"/>
    </row>
    <row r="14" spans="1:10" x14ac:dyDescent="0.3">
      <c r="A14" s="922" t="s">
        <v>904</v>
      </c>
      <c r="B14" s="935">
        <v>29059</v>
      </c>
      <c r="C14" s="935"/>
      <c r="D14" s="935"/>
      <c r="E14" s="935"/>
      <c r="F14" s="911">
        <f>SUM(C14:E14)</f>
        <v>0</v>
      </c>
      <c r="G14" s="923">
        <f t="shared" ref="G14:G21" si="5">IF(F14,C14/F14,0)</f>
        <v>0</v>
      </c>
      <c r="H14" s="923">
        <f t="shared" ref="H14:H21" si="6">IF(F14,D14/F14,0)</f>
        <v>0</v>
      </c>
      <c r="I14" s="924"/>
    </row>
    <row r="15" spans="1:10" x14ac:dyDescent="0.3">
      <c r="A15" s="922" t="s">
        <v>945</v>
      </c>
      <c r="B15" s="910"/>
      <c r="C15" s="910"/>
      <c r="D15" s="910"/>
      <c r="E15" s="910"/>
      <c r="F15" s="911">
        <f t="shared" ref="F15:F21" si="7">SUM(C15:E15)</f>
        <v>0</v>
      </c>
      <c r="G15" s="923">
        <f t="shared" si="5"/>
        <v>0</v>
      </c>
      <c r="H15" s="923">
        <f t="shared" si="6"/>
        <v>0</v>
      </c>
      <c r="I15" s="924"/>
    </row>
    <row r="16" spans="1:10" x14ac:dyDescent="0.3">
      <c r="A16" s="922" t="s">
        <v>945</v>
      </c>
      <c r="B16" s="910"/>
      <c r="C16" s="910"/>
      <c r="D16" s="910"/>
      <c r="E16" s="910"/>
      <c r="F16" s="911">
        <f t="shared" ref="F16" si="8">SUM(C16:E16)</f>
        <v>0</v>
      </c>
      <c r="G16" s="923">
        <f t="shared" ref="G16" si="9">IF(F16,C16/F16,0)</f>
        <v>0</v>
      </c>
      <c r="H16" s="923">
        <f t="shared" si="6"/>
        <v>0</v>
      </c>
      <c r="I16" s="924"/>
    </row>
    <row r="17" spans="1:9" x14ac:dyDescent="0.3">
      <c r="A17" s="922" t="s">
        <v>945</v>
      </c>
      <c r="B17" s="910"/>
      <c r="C17" s="910"/>
      <c r="D17" s="910"/>
      <c r="E17" s="910"/>
      <c r="F17" s="911">
        <f t="shared" si="7"/>
        <v>0</v>
      </c>
      <c r="G17" s="923">
        <f t="shared" si="5"/>
        <v>0</v>
      </c>
      <c r="H17" s="923">
        <f t="shared" si="6"/>
        <v>0</v>
      </c>
      <c r="I17" s="924"/>
    </row>
    <row r="18" spans="1:9" x14ac:dyDescent="0.3">
      <c r="A18" s="922" t="s">
        <v>945</v>
      </c>
      <c r="B18" s="910"/>
      <c r="C18" s="910"/>
      <c r="D18" s="910"/>
      <c r="E18" s="910"/>
      <c r="F18" s="911">
        <f t="shared" si="7"/>
        <v>0</v>
      </c>
      <c r="G18" s="923">
        <f t="shared" si="5"/>
        <v>0</v>
      </c>
      <c r="H18" s="923">
        <f t="shared" si="6"/>
        <v>0</v>
      </c>
      <c r="I18" s="924"/>
    </row>
    <row r="19" spans="1:9" x14ac:dyDescent="0.3">
      <c r="A19" s="922" t="s">
        <v>945</v>
      </c>
      <c r="B19" s="910"/>
      <c r="C19" s="910"/>
      <c r="D19" s="910"/>
      <c r="E19" s="910"/>
      <c r="F19" s="911">
        <f t="shared" si="7"/>
        <v>0</v>
      </c>
      <c r="G19" s="923">
        <f t="shared" si="5"/>
        <v>0</v>
      </c>
      <c r="H19" s="923">
        <f t="shared" si="6"/>
        <v>0</v>
      </c>
      <c r="I19" s="924"/>
    </row>
    <row r="20" spans="1:9" x14ac:dyDescent="0.3">
      <c r="A20" s="922" t="s">
        <v>945</v>
      </c>
      <c r="B20" s="910"/>
      <c r="C20" s="910"/>
      <c r="D20" s="910"/>
      <c r="E20" s="910"/>
      <c r="F20" s="911">
        <f t="shared" si="7"/>
        <v>0</v>
      </c>
      <c r="G20" s="923">
        <f t="shared" si="5"/>
        <v>0</v>
      </c>
      <c r="H20" s="923">
        <f t="shared" si="6"/>
        <v>0</v>
      </c>
      <c r="I20" s="924"/>
    </row>
    <row r="21" spans="1:9" x14ac:dyDescent="0.3">
      <c r="A21" s="914" t="s">
        <v>949</v>
      </c>
      <c r="B21" s="911">
        <f>SUM(B14:B20)</f>
        <v>29059</v>
      </c>
      <c r="C21" s="911">
        <f>SUM(C14:C20)</f>
        <v>0</v>
      </c>
      <c r="D21" s="911">
        <f>SUM(D14:D20)</f>
        <v>0</v>
      </c>
      <c r="E21" s="911">
        <f>SUM(E14:E20)</f>
        <v>0</v>
      </c>
      <c r="F21" s="911">
        <f t="shared" si="7"/>
        <v>0</v>
      </c>
      <c r="G21" s="923">
        <f t="shared" si="5"/>
        <v>0</v>
      </c>
      <c r="H21" s="923">
        <f t="shared" si="6"/>
        <v>0</v>
      </c>
      <c r="I21" s="924"/>
    </row>
    <row r="22" spans="1:9" x14ac:dyDescent="0.3">
      <c r="A22" s="914" t="s">
        <v>950</v>
      </c>
      <c r="B22" s="911"/>
      <c r="C22" s="911">
        <f>+C21/$B$21</f>
        <v>0</v>
      </c>
      <c r="D22" s="911">
        <f t="shared" ref="D22:F22" si="10">+D21/$B$21</f>
        <v>0</v>
      </c>
      <c r="E22" s="911">
        <f t="shared" si="10"/>
        <v>0</v>
      </c>
      <c r="F22" s="911">
        <f t="shared" si="10"/>
        <v>0</v>
      </c>
      <c r="G22" s="911"/>
      <c r="H22" s="911"/>
      <c r="I22" s="924"/>
    </row>
    <row r="23" spans="1:9" x14ac:dyDescent="0.3">
      <c r="A23" s="916"/>
      <c r="B23" s="917"/>
      <c r="C23" s="917"/>
      <c r="D23" s="917"/>
      <c r="E23" s="917"/>
      <c r="F23" s="917"/>
      <c r="G23" s="917"/>
      <c r="H23" s="917"/>
      <c r="I23" s="918"/>
    </row>
    <row r="24" spans="1:9" x14ac:dyDescent="0.3">
      <c r="A24" s="904" t="s">
        <v>951</v>
      </c>
      <c r="B24" s="905"/>
      <c r="C24" s="905"/>
      <c r="D24" s="905"/>
      <c r="E24" s="905"/>
      <c r="F24" s="905"/>
      <c r="G24" s="905"/>
      <c r="H24" s="905"/>
      <c r="I24" s="906"/>
    </row>
    <row r="25" spans="1:9" x14ac:dyDescent="0.3">
      <c r="A25" s="907"/>
      <c r="B25" s="1036" t="s">
        <v>952</v>
      </c>
      <c r="C25" s="1037"/>
      <c r="D25" s="1037"/>
      <c r="E25" s="18"/>
      <c r="F25" s="1036" t="s">
        <v>974</v>
      </c>
      <c r="G25" s="1037"/>
      <c r="H25" s="1037"/>
      <c r="I25" s="924"/>
    </row>
    <row r="26" spans="1:9" x14ac:dyDescent="0.3">
      <c r="A26" s="907"/>
      <c r="B26" s="925" t="s">
        <v>662</v>
      </c>
      <c r="C26" s="925" t="s">
        <v>663</v>
      </c>
      <c r="D26" s="925" t="s">
        <v>751</v>
      </c>
      <c r="E26" s="925"/>
      <c r="F26" s="925" t="s">
        <v>662</v>
      </c>
      <c r="G26" s="925" t="s">
        <v>663</v>
      </c>
      <c r="H26" s="925" t="s">
        <v>751</v>
      </c>
      <c r="I26" s="924"/>
    </row>
    <row r="27" spans="1:9" x14ac:dyDescent="0.3">
      <c r="A27" s="907" t="s">
        <v>953</v>
      </c>
      <c r="B27" s="935">
        <f>102500+92800+3696153</f>
        <v>3891453</v>
      </c>
      <c r="C27" s="935">
        <v>1454528</v>
      </c>
      <c r="D27" s="911">
        <f>+B27+C27</f>
        <v>5345981</v>
      </c>
      <c r="E27" s="911"/>
      <c r="F27" s="910"/>
      <c r="G27" s="910"/>
      <c r="H27" s="911">
        <f>SUM(F27:G27)</f>
        <v>0</v>
      </c>
      <c r="I27" s="924"/>
    </row>
    <row r="28" spans="1:9" x14ac:dyDescent="0.3">
      <c r="A28" s="907" t="s">
        <v>977</v>
      </c>
      <c r="B28" s="935">
        <v>7349100</v>
      </c>
      <c r="C28" s="935"/>
      <c r="D28" s="911">
        <f t="shared" ref="D28:D30" si="11">+B28+C28</f>
        <v>7349100</v>
      </c>
      <c r="E28" s="911"/>
      <c r="F28" s="910"/>
      <c r="G28" s="910"/>
      <c r="H28" s="911">
        <f t="shared" ref="H28:H30" si="12">SUM(F28:G28)</f>
        <v>0</v>
      </c>
      <c r="I28" s="924"/>
    </row>
    <row r="29" spans="1:9" x14ac:dyDescent="0.3">
      <c r="A29" s="907" t="s">
        <v>954</v>
      </c>
      <c r="B29" s="935"/>
      <c r="C29" s="935"/>
      <c r="D29" s="911">
        <f t="shared" si="11"/>
        <v>0</v>
      </c>
      <c r="E29" s="911"/>
      <c r="F29" s="910"/>
      <c r="G29" s="910"/>
      <c r="H29" s="911">
        <f t="shared" si="12"/>
        <v>0</v>
      </c>
      <c r="I29" s="924"/>
    </row>
    <row r="30" spans="1:9" x14ac:dyDescent="0.3">
      <c r="A30" s="907" t="s">
        <v>955</v>
      </c>
      <c r="B30" s="935"/>
      <c r="C30" s="935"/>
      <c r="D30" s="911">
        <f t="shared" si="11"/>
        <v>0</v>
      </c>
      <c r="E30" s="911"/>
      <c r="F30" s="910"/>
      <c r="G30" s="910"/>
      <c r="H30" s="911">
        <f t="shared" si="12"/>
        <v>0</v>
      </c>
      <c r="I30" s="924"/>
    </row>
    <row r="31" spans="1:9" x14ac:dyDescent="0.3">
      <c r="A31" s="914" t="s">
        <v>751</v>
      </c>
      <c r="B31" s="911">
        <f>SUM(B27:B30)</f>
        <v>11240553</v>
      </c>
      <c r="C31" s="911">
        <f t="shared" ref="C31:D31" si="13">SUM(C27:C30)</f>
        <v>1454528</v>
      </c>
      <c r="D31" s="911">
        <f t="shared" si="13"/>
        <v>12695081</v>
      </c>
      <c r="E31" s="911"/>
      <c r="F31" s="911">
        <f>SUM(F27:F30)</f>
        <v>0</v>
      </c>
      <c r="G31" s="911">
        <f t="shared" ref="G31:H31" si="14">SUM(G27:G30)</f>
        <v>0</v>
      </c>
      <c r="H31" s="911">
        <f t="shared" si="14"/>
        <v>0</v>
      </c>
      <c r="I31" s="924"/>
    </row>
    <row r="32" spans="1:9" x14ac:dyDescent="0.3">
      <c r="A32" s="907"/>
      <c r="B32" s="18"/>
      <c r="C32" s="18"/>
      <c r="D32" s="18"/>
      <c r="E32" s="18"/>
      <c r="F32" s="18"/>
      <c r="G32" s="18"/>
      <c r="H32" s="18"/>
      <c r="I32" s="924"/>
    </row>
    <row r="33" spans="1:10" ht="32.25" customHeight="1" x14ac:dyDescent="0.3">
      <c r="A33" s="1038" t="s">
        <v>956</v>
      </c>
      <c r="B33" s="1039"/>
      <c r="C33" s="908" t="s">
        <v>957</v>
      </c>
      <c r="D33" s="908" t="s">
        <v>958</v>
      </c>
      <c r="E33" s="925" t="s">
        <v>959</v>
      </c>
      <c r="F33" s="18"/>
      <c r="G33" s="18"/>
      <c r="H33" s="18"/>
      <c r="I33" s="924"/>
    </row>
    <row r="34" spans="1:10" x14ac:dyDescent="0.3">
      <c r="A34" s="1040" t="s">
        <v>960</v>
      </c>
      <c r="B34" s="1037"/>
      <c r="C34" s="910"/>
      <c r="D34" s="923">
        <f>IF(D21,C34/D21-1,0)</f>
        <v>0</v>
      </c>
      <c r="E34" s="911"/>
      <c r="F34" s="18"/>
      <c r="G34" s="18"/>
      <c r="H34" s="18"/>
      <c r="I34" s="924"/>
    </row>
    <row r="35" spans="1:10" x14ac:dyDescent="0.3">
      <c r="A35" s="1038" t="s">
        <v>961</v>
      </c>
      <c r="B35" s="1039"/>
      <c r="C35" s="910"/>
      <c r="D35" s="923">
        <f>IF(C21,C35/C21-1,0)</f>
        <v>0</v>
      </c>
      <c r="E35" s="911"/>
      <c r="F35" s="18"/>
      <c r="G35" s="18"/>
      <c r="H35" s="18"/>
      <c r="I35" s="924"/>
    </row>
    <row r="36" spans="1:10" x14ac:dyDescent="0.3">
      <c r="A36" s="907"/>
      <c r="B36" s="927" t="s">
        <v>962</v>
      </c>
      <c r="C36" s="911">
        <f>SUM(C34:C35)</f>
        <v>0</v>
      </c>
      <c r="D36" s="923">
        <f>IF((C21+D21),C36/(C21+D21),0)</f>
        <v>0</v>
      </c>
      <c r="E36" s="928">
        <v>0.05</v>
      </c>
      <c r="F36" s="18"/>
      <c r="G36" s="18"/>
      <c r="H36" s="18"/>
      <c r="I36" s="924"/>
    </row>
    <row r="37" spans="1:10" x14ac:dyDescent="0.3">
      <c r="A37" s="907"/>
      <c r="B37" s="927"/>
      <c r="C37" s="911"/>
      <c r="D37" s="911"/>
      <c r="E37" s="928"/>
      <c r="F37" s="18"/>
      <c r="G37" s="18"/>
      <c r="H37" s="18"/>
      <c r="I37" s="924"/>
    </row>
    <row r="38" spans="1:10" x14ac:dyDescent="0.3">
      <c r="A38" s="904" t="s">
        <v>983</v>
      </c>
      <c r="B38" s="905"/>
      <c r="C38" s="905"/>
      <c r="D38" s="905"/>
      <c r="E38" s="905"/>
      <c r="F38" s="905"/>
      <c r="G38" s="905"/>
      <c r="H38" s="905"/>
      <c r="I38" s="906"/>
    </row>
    <row r="39" spans="1:10" ht="49.5" x14ac:dyDescent="0.3">
      <c r="A39" s="907"/>
      <c r="B39" s="925" t="s">
        <v>963</v>
      </c>
      <c r="C39" s="925" t="s">
        <v>964</v>
      </c>
      <c r="D39" s="925" t="s">
        <v>965</v>
      </c>
      <c r="E39" s="925" t="s">
        <v>203</v>
      </c>
      <c r="F39" s="925" t="s">
        <v>966</v>
      </c>
      <c r="G39" s="925" t="s">
        <v>967</v>
      </c>
      <c r="H39" s="925" t="s">
        <v>968</v>
      </c>
      <c r="I39" s="909" t="s">
        <v>981</v>
      </c>
      <c r="J39" s="901"/>
    </row>
    <row r="40" spans="1:10" ht="33" x14ac:dyDescent="0.3">
      <c r="A40" s="929" t="s">
        <v>984</v>
      </c>
      <c r="B40" s="935">
        <v>5642</v>
      </c>
      <c r="C40" s="935">
        <v>5726</v>
      </c>
      <c r="D40" s="911">
        <f>+C40-B40</f>
        <v>84</v>
      </c>
      <c r="E40" s="930">
        <f>+D40/B40</f>
        <v>1.488833746898263E-2</v>
      </c>
      <c r="F40" s="934">
        <v>1.9E-2</v>
      </c>
      <c r="G40" s="934">
        <v>2.8000000000000001E-2</v>
      </c>
      <c r="H40" s="934">
        <v>1.6E-2</v>
      </c>
      <c r="I40" s="936">
        <v>9.1999999999999998E-2</v>
      </c>
    </row>
    <row r="41" spans="1:10" x14ac:dyDescent="0.3">
      <c r="A41" s="929"/>
      <c r="B41" s="18"/>
      <c r="C41" s="18"/>
      <c r="D41" s="18"/>
      <c r="E41" s="18"/>
      <c r="F41" s="18"/>
      <c r="G41" s="18"/>
      <c r="H41" s="18"/>
      <c r="I41" s="924"/>
    </row>
    <row r="42" spans="1:10" x14ac:dyDescent="0.3">
      <c r="A42" s="932" t="s">
        <v>969</v>
      </c>
      <c r="B42" s="18"/>
      <c r="C42" s="18"/>
      <c r="D42" s="18"/>
      <c r="E42" s="18"/>
      <c r="F42" s="18"/>
      <c r="G42" s="18"/>
      <c r="H42" s="18"/>
      <c r="I42" s="924"/>
    </row>
    <row r="43" spans="1:10" ht="33" customHeight="1" x14ac:dyDescent="0.3">
      <c r="A43" s="907"/>
      <c r="B43" s="908" t="s">
        <v>979</v>
      </c>
      <c r="C43" s="908" t="s">
        <v>980</v>
      </c>
      <c r="D43" s="908" t="s">
        <v>978</v>
      </c>
      <c r="E43" s="908" t="s">
        <v>971</v>
      </c>
      <c r="F43" s="908" t="s">
        <v>970</v>
      </c>
      <c r="I43" s="924"/>
    </row>
    <row r="44" spans="1:10" x14ac:dyDescent="0.3">
      <c r="A44" s="907" t="s">
        <v>972</v>
      </c>
      <c r="B44" s="910">
        <v>5726</v>
      </c>
      <c r="C44" s="910">
        <v>7542</v>
      </c>
      <c r="D44" s="910">
        <v>10822</v>
      </c>
      <c r="E44" s="910">
        <v>10</v>
      </c>
      <c r="F44" s="910">
        <v>10</v>
      </c>
      <c r="I44" s="924"/>
    </row>
    <row r="45" spans="1:10" x14ac:dyDescent="0.3">
      <c r="A45" s="907" t="s">
        <v>973</v>
      </c>
      <c r="B45" s="910">
        <v>5726</v>
      </c>
      <c r="C45" s="910">
        <v>7380</v>
      </c>
      <c r="D45" s="910">
        <v>10822</v>
      </c>
      <c r="E45" s="910">
        <v>6</v>
      </c>
      <c r="F45" s="910">
        <v>6</v>
      </c>
      <c r="I45" s="924"/>
    </row>
    <row r="46" spans="1:10" x14ac:dyDescent="0.3">
      <c r="A46" s="907" t="s">
        <v>982</v>
      </c>
      <c r="B46" s="935">
        <v>5652</v>
      </c>
      <c r="C46" s="935">
        <v>7657</v>
      </c>
      <c r="D46" s="935">
        <v>11564</v>
      </c>
      <c r="E46" s="935">
        <v>11</v>
      </c>
      <c r="F46" s="935">
        <v>11</v>
      </c>
      <c r="I46" s="924"/>
    </row>
    <row r="47" spans="1:10" x14ac:dyDescent="0.3">
      <c r="A47" s="907" t="s">
        <v>995</v>
      </c>
      <c r="B47" s="910">
        <v>2082</v>
      </c>
      <c r="C47" s="910">
        <v>8489</v>
      </c>
      <c r="D47" s="910">
        <v>16149</v>
      </c>
      <c r="E47" s="935">
        <v>239</v>
      </c>
      <c r="F47" s="910">
        <v>246</v>
      </c>
      <c r="I47" s="924"/>
    </row>
    <row r="48" spans="1:10" x14ac:dyDescent="0.3">
      <c r="A48" s="916"/>
      <c r="B48" s="917"/>
      <c r="C48" s="917"/>
      <c r="D48" s="917"/>
      <c r="E48" s="917"/>
      <c r="F48" s="917"/>
      <c r="G48" s="917"/>
      <c r="H48" s="917"/>
      <c r="I48" s="918"/>
    </row>
    <row r="49" spans="1:4" x14ac:dyDescent="0.3">
      <c r="A49" s="124" t="s">
        <v>985</v>
      </c>
    </row>
    <row r="50" spans="1:4" x14ac:dyDescent="0.3">
      <c r="A50" s="124" t="s">
        <v>999</v>
      </c>
      <c r="B50" s="903"/>
      <c r="C50" s="903"/>
      <c r="D50" s="903"/>
    </row>
    <row r="51" spans="1:4" x14ac:dyDescent="0.3">
      <c r="A51" s="124" t="s">
        <v>986</v>
      </c>
      <c r="B51" s="903"/>
      <c r="C51" s="903"/>
      <c r="D51" s="903"/>
    </row>
    <row r="52" spans="1:4" x14ac:dyDescent="0.3">
      <c r="A52" s="124" t="s">
        <v>987</v>
      </c>
      <c r="B52" s="903"/>
      <c r="C52" s="903"/>
      <c r="D52" s="903"/>
    </row>
    <row r="53" spans="1:4" x14ac:dyDescent="0.3">
      <c r="A53" s="124" t="s">
        <v>988</v>
      </c>
      <c r="B53" s="903"/>
      <c r="C53" s="903"/>
      <c r="D53" s="903"/>
    </row>
    <row r="54" spans="1:4" x14ac:dyDescent="0.3">
      <c r="A54" s="124" t="s">
        <v>996</v>
      </c>
      <c r="B54" s="903"/>
      <c r="C54" s="903"/>
      <c r="D54" s="903"/>
    </row>
    <row r="55" spans="1:4" x14ac:dyDescent="0.3">
      <c r="B55" s="903"/>
      <c r="C55" s="903"/>
      <c r="D55" s="903"/>
    </row>
    <row r="56" spans="1:4" x14ac:dyDescent="0.3">
      <c r="B56" s="903"/>
      <c r="C56" s="903"/>
      <c r="D56" s="903"/>
    </row>
    <row r="57" spans="1:4" x14ac:dyDescent="0.3">
      <c r="B57" s="903"/>
      <c r="C57" s="903"/>
      <c r="D57" s="903"/>
    </row>
    <row r="58" spans="1:4" x14ac:dyDescent="0.3">
      <c r="B58" s="903"/>
      <c r="C58" s="903"/>
      <c r="D58" s="903"/>
    </row>
    <row r="59" spans="1:4" x14ac:dyDescent="0.3">
      <c r="B59" s="903"/>
      <c r="C59" s="903"/>
      <c r="D59" s="903"/>
    </row>
    <row r="60" spans="1:4" x14ac:dyDescent="0.3">
      <c r="B60" s="903"/>
      <c r="C60" s="903"/>
      <c r="D60" s="903"/>
    </row>
    <row r="61" spans="1:4" x14ac:dyDescent="0.3">
      <c r="B61" s="903"/>
      <c r="C61" s="903"/>
      <c r="D61" s="903"/>
    </row>
    <row r="62" spans="1:4" x14ac:dyDescent="0.3">
      <c r="B62" s="903"/>
      <c r="C62" s="903"/>
      <c r="D62" s="903"/>
    </row>
  </sheetData>
  <mergeCells count="5">
    <mergeCell ref="B25:D25"/>
    <mergeCell ref="F25:H25"/>
    <mergeCell ref="A33:B33"/>
    <mergeCell ref="A34:B34"/>
    <mergeCell ref="A35:B35"/>
  </mergeCells>
  <pageMargins left="0.7" right="0.7" top="0.75" bottom="0.75" header="0.3" footer="0.3"/>
  <pageSetup scale="5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2"/>
  <sheetViews>
    <sheetView view="pageBreakPreview" zoomScale="80" zoomScaleNormal="100" zoomScaleSheetLayoutView="80" workbookViewId="0">
      <selection activeCell="B7" sqref="B7"/>
    </sheetView>
  </sheetViews>
  <sheetFormatPr defaultRowHeight="16.5" x14ac:dyDescent="0.3"/>
  <cols>
    <col min="1" max="1" width="24.28515625" style="124" customWidth="1"/>
    <col min="2" max="7" width="14.7109375" style="124" customWidth="1"/>
    <col min="8" max="8" width="16.7109375" style="124" customWidth="1"/>
    <col min="9" max="9" width="14.7109375" style="124" customWidth="1"/>
    <col min="10" max="16384" width="9.140625" style="124"/>
  </cols>
  <sheetData>
    <row r="1" spans="1:9" x14ac:dyDescent="0.3">
      <c r="A1" s="125" t="s">
        <v>0</v>
      </c>
      <c r="I1" s="933" t="s">
        <v>194</v>
      </c>
    </row>
    <row r="2" spans="1:9" x14ac:dyDescent="0.3">
      <c r="A2" s="899" t="s">
        <v>933</v>
      </c>
    </row>
    <row r="4" spans="1:9" x14ac:dyDescent="0.3">
      <c r="A4" s="904" t="s">
        <v>934</v>
      </c>
      <c r="B4" s="905"/>
      <c r="C4" s="905"/>
      <c r="D4" s="905"/>
      <c r="E4" s="905"/>
      <c r="F4" s="905"/>
      <c r="G4" s="905"/>
      <c r="H4" s="905"/>
      <c r="I4" s="906"/>
    </row>
    <row r="5" spans="1:9" ht="51.75" customHeight="1" x14ac:dyDescent="0.3">
      <c r="A5" s="907"/>
      <c r="B5" s="908" t="s">
        <v>935</v>
      </c>
      <c r="C5" s="908" t="s">
        <v>936</v>
      </c>
      <c r="D5" s="908" t="s">
        <v>937</v>
      </c>
      <c r="E5" s="908" t="s">
        <v>938</v>
      </c>
      <c r="F5" s="908" t="s">
        <v>939</v>
      </c>
      <c r="G5" s="908" t="s">
        <v>975</v>
      </c>
      <c r="H5" s="908" t="s">
        <v>940</v>
      </c>
      <c r="I5" s="909" t="s">
        <v>941</v>
      </c>
    </row>
    <row r="6" spans="1:9" x14ac:dyDescent="0.3">
      <c r="A6" s="907" t="s">
        <v>662</v>
      </c>
      <c r="B6" s="935">
        <f>89973500-776900</f>
        <v>89196600</v>
      </c>
      <c r="C6" s="911">
        <f>+B6*1.05</f>
        <v>93656430</v>
      </c>
      <c r="D6" s="911">
        <f>+B6/$D$10</f>
        <v>2440.6665572155639</v>
      </c>
      <c r="E6" s="912">
        <f>+B6/$E$10</f>
        <v>5051.0561186930181</v>
      </c>
      <c r="F6" s="911">
        <f>+B6/$F$10</f>
        <v>15692.575650950035</v>
      </c>
      <c r="G6" s="911">
        <f>+D6*1.02</f>
        <v>2489.4798883598751</v>
      </c>
      <c r="H6" s="911">
        <f>+E6*1.02</f>
        <v>5152.0772410668787</v>
      </c>
      <c r="I6" s="913">
        <f>+F6*1.02</f>
        <v>16006.427163969036</v>
      </c>
    </row>
    <row r="7" spans="1:9" x14ac:dyDescent="0.3">
      <c r="A7" s="907" t="s">
        <v>942</v>
      </c>
      <c r="B7" s="935">
        <v>57583333</v>
      </c>
      <c r="C7" s="911">
        <f t="shared" ref="C7:C9" si="0">+B7*1.05</f>
        <v>60462499.650000006</v>
      </c>
      <c r="D7" s="911">
        <f t="shared" ref="D7:D9" si="1">+B7/$D$10</f>
        <v>1575.6398237837245</v>
      </c>
      <c r="E7" s="911">
        <f t="shared" ref="E7:E9" si="2">+B7/$E$10</f>
        <v>3260.849028823829</v>
      </c>
      <c r="F7" s="911">
        <f t="shared" ref="F7:F9" si="3">+B7/$F$10</f>
        <v>10130.776389866291</v>
      </c>
      <c r="G7" s="911">
        <f t="shared" ref="G7:I9" si="4">+D7*1.02</f>
        <v>1607.1526202593991</v>
      </c>
      <c r="H7" s="911">
        <f t="shared" si="4"/>
        <v>3326.0660094003056</v>
      </c>
      <c r="I7" s="913">
        <f t="shared" si="4"/>
        <v>10333.391917663617</v>
      </c>
    </row>
    <row r="8" spans="1:9" x14ac:dyDescent="0.3">
      <c r="A8" s="907" t="s">
        <v>943</v>
      </c>
      <c r="B8" s="910">
        <v>0</v>
      </c>
      <c r="C8" s="911">
        <f t="shared" si="0"/>
        <v>0</v>
      </c>
      <c r="D8" s="911">
        <f t="shared" si="1"/>
        <v>0</v>
      </c>
      <c r="E8" s="911">
        <f t="shared" si="2"/>
        <v>0</v>
      </c>
      <c r="F8" s="911">
        <f t="shared" si="3"/>
        <v>0</v>
      </c>
      <c r="G8" s="911">
        <f t="shared" si="4"/>
        <v>0</v>
      </c>
      <c r="H8" s="911">
        <f t="shared" si="4"/>
        <v>0</v>
      </c>
      <c r="I8" s="913">
        <f t="shared" si="4"/>
        <v>0</v>
      </c>
    </row>
    <row r="9" spans="1:9" x14ac:dyDescent="0.3">
      <c r="A9" s="914" t="s">
        <v>944</v>
      </c>
      <c r="B9" s="911">
        <f>SUM(B6:B8)</f>
        <v>146779933</v>
      </c>
      <c r="C9" s="911">
        <f t="shared" si="0"/>
        <v>154118929.65000001</v>
      </c>
      <c r="D9" s="911">
        <f t="shared" si="1"/>
        <v>4016.3063809992886</v>
      </c>
      <c r="E9" s="911">
        <f t="shared" si="2"/>
        <v>8311.9051475168471</v>
      </c>
      <c r="F9" s="911">
        <f t="shared" si="3"/>
        <v>25823.352040816328</v>
      </c>
      <c r="G9" s="911">
        <f t="shared" si="4"/>
        <v>4096.6325086192746</v>
      </c>
      <c r="H9" s="911">
        <f t="shared" si="4"/>
        <v>8478.1432504671848</v>
      </c>
      <c r="I9" s="913">
        <f t="shared" si="4"/>
        <v>26339.819081632653</v>
      </c>
    </row>
    <row r="10" spans="1:9" s="902" customFormat="1" x14ac:dyDescent="0.3">
      <c r="A10" s="915"/>
      <c r="B10" s="911"/>
      <c r="C10" s="911"/>
      <c r="D10" s="935">
        <v>36546</v>
      </c>
      <c r="E10" s="935">
        <v>17659</v>
      </c>
      <c r="F10" s="935">
        <v>5684</v>
      </c>
      <c r="G10" s="911"/>
      <c r="H10" s="911"/>
      <c r="I10" s="913"/>
    </row>
    <row r="11" spans="1:9" x14ac:dyDescent="0.3">
      <c r="A11" s="916"/>
      <c r="B11" s="917"/>
      <c r="C11" s="917"/>
      <c r="D11" s="917"/>
      <c r="E11" s="917"/>
      <c r="F11" s="917"/>
      <c r="G11" s="917"/>
      <c r="H11" s="917"/>
      <c r="I11" s="918"/>
    </row>
    <row r="12" spans="1:9" x14ac:dyDescent="0.3">
      <c r="A12" s="904" t="s">
        <v>976</v>
      </c>
      <c r="B12" s="905"/>
      <c r="C12" s="905"/>
      <c r="D12" s="905"/>
      <c r="E12" s="905"/>
      <c r="F12" s="905"/>
      <c r="G12" s="905"/>
      <c r="H12" s="905"/>
      <c r="I12" s="906"/>
    </row>
    <row r="13" spans="1:9" s="900" customFormat="1" ht="33" x14ac:dyDescent="0.3">
      <c r="A13" s="926" t="s">
        <v>945</v>
      </c>
      <c r="B13" s="908" t="s">
        <v>946</v>
      </c>
      <c r="C13" s="925" t="s">
        <v>662</v>
      </c>
      <c r="D13" s="925" t="s">
        <v>663</v>
      </c>
      <c r="E13" s="925" t="s">
        <v>178</v>
      </c>
      <c r="F13" s="925" t="s">
        <v>751</v>
      </c>
      <c r="G13" s="908" t="s">
        <v>947</v>
      </c>
      <c r="H13" s="908" t="s">
        <v>948</v>
      </c>
      <c r="I13" s="921"/>
    </row>
    <row r="14" spans="1:9" x14ac:dyDescent="0.3">
      <c r="A14" s="922" t="s">
        <v>904</v>
      </c>
      <c r="B14" s="935">
        <v>17740</v>
      </c>
      <c r="C14" s="935"/>
      <c r="D14" s="935"/>
      <c r="E14" s="935"/>
      <c r="F14" s="911">
        <f>SUM(C14:E14)</f>
        <v>0</v>
      </c>
      <c r="G14" s="923">
        <f t="shared" ref="G14:G21" si="5">IF(F14,C14/F14,0)</f>
        <v>0</v>
      </c>
      <c r="H14" s="923">
        <f t="shared" ref="H14:H21" si="6">IF(F14,D14/F14,0)</f>
        <v>0</v>
      </c>
      <c r="I14" s="924"/>
    </row>
    <row r="15" spans="1:9" x14ac:dyDescent="0.3">
      <c r="A15" s="922" t="s">
        <v>945</v>
      </c>
      <c r="B15" s="910"/>
      <c r="C15" s="910"/>
      <c r="D15" s="910"/>
      <c r="E15" s="910"/>
      <c r="F15" s="911">
        <f t="shared" ref="F15:F21" si="7">SUM(C15:E15)</f>
        <v>0</v>
      </c>
      <c r="G15" s="923">
        <f t="shared" si="5"/>
        <v>0</v>
      </c>
      <c r="H15" s="923">
        <f t="shared" si="6"/>
        <v>0</v>
      </c>
      <c r="I15" s="924"/>
    </row>
    <row r="16" spans="1:9" x14ac:dyDescent="0.3">
      <c r="A16" s="922" t="s">
        <v>945</v>
      </c>
      <c r="B16" s="910"/>
      <c r="C16" s="910"/>
      <c r="D16" s="910"/>
      <c r="E16" s="910"/>
      <c r="F16" s="911">
        <f t="shared" ref="F16" si="8">SUM(C16:E16)</f>
        <v>0</v>
      </c>
      <c r="G16" s="923">
        <f t="shared" ref="G16" si="9">IF(F16,C16/F16,0)</f>
        <v>0</v>
      </c>
      <c r="H16" s="923">
        <f t="shared" si="6"/>
        <v>0</v>
      </c>
      <c r="I16" s="924"/>
    </row>
    <row r="17" spans="1:9" x14ac:dyDescent="0.3">
      <c r="A17" s="922" t="s">
        <v>945</v>
      </c>
      <c r="B17" s="910"/>
      <c r="C17" s="910"/>
      <c r="D17" s="910"/>
      <c r="E17" s="910"/>
      <c r="F17" s="911">
        <f t="shared" si="7"/>
        <v>0</v>
      </c>
      <c r="G17" s="923">
        <f t="shared" si="5"/>
        <v>0</v>
      </c>
      <c r="H17" s="923">
        <f t="shared" si="6"/>
        <v>0</v>
      </c>
      <c r="I17" s="924"/>
    </row>
    <row r="18" spans="1:9" x14ac:dyDescent="0.3">
      <c r="A18" s="922" t="s">
        <v>945</v>
      </c>
      <c r="B18" s="910"/>
      <c r="C18" s="910"/>
      <c r="D18" s="910"/>
      <c r="E18" s="910"/>
      <c r="F18" s="911">
        <f t="shared" si="7"/>
        <v>0</v>
      </c>
      <c r="G18" s="923">
        <f t="shared" si="5"/>
        <v>0</v>
      </c>
      <c r="H18" s="923">
        <f t="shared" si="6"/>
        <v>0</v>
      </c>
      <c r="I18" s="924"/>
    </row>
    <row r="19" spans="1:9" x14ac:dyDescent="0.3">
      <c r="A19" s="922" t="s">
        <v>945</v>
      </c>
      <c r="B19" s="910"/>
      <c r="C19" s="910"/>
      <c r="D19" s="910"/>
      <c r="E19" s="910"/>
      <c r="F19" s="911">
        <f t="shared" si="7"/>
        <v>0</v>
      </c>
      <c r="G19" s="923">
        <f t="shared" si="5"/>
        <v>0</v>
      </c>
      <c r="H19" s="923">
        <f t="shared" si="6"/>
        <v>0</v>
      </c>
      <c r="I19" s="924"/>
    </row>
    <row r="20" spans="1:9" x14ac:dyDescent="0.3">
      <c r="A20" s="922" t="s">
        <v>945</v>
      </c>
      <c r="B20" s="910"/>
      <c r="C20" s="910"/>
      <c r="D20" s="910"/>
      <c r="E20" s="910"/>
      <c r="F20" s="911">
        <f t="shared" si="7"/>
        <v>0</v>
      </c>
      <c r="G20" s="923">
        <f t="shared" si="5"/>
        <v>0</v>
      </c>
      <c r="H20" s="923">
        <f t="shared" si="6"/>
        <v>0</v>
      </c>
      <c r="I20" s="924"/>
    </row>
    <row r="21" spans="1:9" x14ac:dyDescent="0.3">
      <c r="A21" s="914" t="s">
        <v>949</v>
      </c>
      <c r="B21" s="911">
        <f>SUM(B14:B20)</f>
        <v>17740</v>
      </c>
      <c r="C21" s="911">
        <f>SUM(C14:C20)</f>
        <v>0</v>
      </c>
      <c r="D21" s="911">
        <f>SUM(D14:D20)</f>
        <v>0</v>
      </c>
      <c r="E21" s="911">
        <f>SUM(E14:E20)</f>
        <v>0</v>
      </c>
      <c r="F21" s="911">
        <f t="shared" si="7"/>
        <v>0</v>
      </c>
      <c r="G21" s="923">
        <f t="shared" si="5"/>
        <v>0</v>
      </c>
      <c r="H21" s="923">
        <f t="shared" si="6"/>
        <v>0</v>
      </c>
      <c r="I21" s="924"/>
    </row>
    <row r="22" spans="1:9" x14ac:dyDescent="0.3">
      <c r="A22" s="914" t="s">
        <v>950</v>
      </c>
      <c r="B22" s="911"/>
      <c r="C22" s="911">
        <f>+C21/$B$21</f>
        <v>0</v>
      </c>
      <c r="D22" s="911">
        <f t="shared" ref="D22:F22" si="10">+D21/$B$21</f>
        <v>0</v>
      </c>
      <c r="E22" s="911">
        <f t="shared" si="10"/>
        <v>0</v>
      </c>
      <c r="F22" s="911">
        <f t="shared" si="10"/>
        <v>0</v>
      </c>
      <c r="G22" s="911"/>
      <c r="H22" s="911"/>
      <c r="I22" s="924"/>
    </row>
    <row r="23" spans="1:9" x14ac:dyDescent="0.3">
      <c r="A23" s="916"/>
      <c r="B23" s="917"/>
      <c r="C23" s="917"/>
      <c r="D23" s="917"/>
      <c r="E23" s="917"/>
      <c r="F23" s="917"/>
      <c r="G23" s="917"/>
      <c r="H23" s="917"/>
      <c r="I23" s="918"/>
    </row>
    <row r="24" spans="1:9" x14ac:dyDescent="0.3">
      <c r="A24" s="904" t="s">
        <v>951</v>
      </c>
      <c r="B24" s="905"/>
      <c r="C24" s="905"/>
      <c r="D24" s="905"/>
      <c r="E24" s="905"/>
      <c r="F24" s="905"/>
      <c r="G24" s="905"/>
      <c r="H24" s="905"/>
      <c r="I24" s="906"/>
    </row>
    <row r="25" spans="1:9" x14ac:dyDescent="0.3">
      <c r="A25" s="907"/>
      <c r="B25" s="1036" t="s">
        <v>952</v>
      </c>
      <c r="C25" s="1037"/>
      <c r="D25" s="1037"/>
      <c r="E25" s="18"/>
      <c r="F25" s="1036" t="s">
        <v>974</v>
      </c>
      <c r="G25" s="1037"/>
      <c r="H25" s="1037"/>
      <c r="I25" s="924"/>
    </row>
    <row r="26" spans="1:9" x14ac:dyDescent="0.3">
      <c r="A26" s="907"/>
      <c r="B26" s="925" t="s">
        <v>662</v>
      </c>
      <c r="C26" s="925" t="s">
        <v>663</v>
      </c>
      <c r="D26" s="925" t="s">
        <v>751</v>
      </c>
      <c r="E26" s="925"/>
      <c r="F26" s="925" t="s">
        <v>662</v>
      </c>
      <c r="G26" s="925" t="s">
        <v>663</v>
      </c>
      <c r="H26" s="925" t="s">
        <v>751</v>
      </c>
      <c r="I26" s="924"/>
    </row>
    <row r="27" spans="1:9" x14ac:dyDescent="0.3">
      <c r="A27" s="907" t="s">
        <v>953</v>
      </c>
      <c r="B27" s="935">
        <f>17800+137400+2213922</f>
        <v>2369122</v>
      </c>
      <c r="C27" s="935">
        <v>785227</v>
      </c>
      <c r="D27" s="911">
        <f>+B27+C27</f>
        <v>3154349</v>
      </c>
      <c r="E27" s="911"/>
      <c r="F27" s="910"/>
      <c r="G27" s="910"/>
      <c r="H27" s="911">
        <f>SUM(F27:G27)</f>
        <v>0</v>
      </c>
      <c r="I27" s="924"/>
    </row>
    <row r="28" spans="1:9" x14ac:dyDescent="0.3">
      <c r="A28" s="907" t="s">
        <v>977</v>
      </c>
      <c r="B28" s="935">
        <v>5246000</v>
      </c>
      <c r="C28" s="935"/>
      <c r="D28" s="911">
        <f t="shared" ref="D28:D30" si="11">+B28+C28</f>
        <v>5246000</v>
      </c>
      <c r="E28" s="911"/>
      <c r="F28" s="910"/>
      <c r="G28" s="910"/>
      <c r="H28" s="911">
        <f t="shared" ref="H28:H30" si="12">SUM(F28:G28)</f>
        <v>0</v>
      </c>
      <c r="I28" s="924"/>
    </row>
    <row r="29" spans="1:9" x14ac:dyDescent="0.3">
      <c r="A29" s="907" t="s">
        <v>954</v>
      </c>
      <c r="B29" s="935"/>
      <c r="C29" s="935"/>
      <c r="D29" s="911">
        <f t="shared" si="11"/>
        <v>0</v>
      </c>
      <c r="E29" s="911"/>
      <c r="F29" s="910"/>
      <c r="G29" s="910"/>
      <c r="H29" s="911">
        <f t="shared" si="12"/>
        <v>0</v>
      </c>
      <c r="I29" s="924"/>
    </row>
    <row r="30" spans="1:9" x14ac:dyDescent="0.3">
      <c r="A30" s="907" t="s">
        <v>955</v>
      </c>
      <c r="B30" s="935"/>
      <c r="C30" s="935"/>
      <c r="D30" s="911">
        <f t="shared" si="11"/>
        <v>0</v>
      </c>
      <c r="E30" s="911"/>
      <c r="F30" s="910"/>
      <c r="G30" s="910"/>
      <c r="H30" s="911">
        <f t="shared" si="12"/>
        <v>0</v>
      </c>
      <c r="I30" s="924"/>
    </row>
    <row r="31" spans="1:9" x14ac:dyDescent="0.3">
      <c r="A31" s="914" t="s">
        <v>751</v>
      </c>
      <c r="B31" s="911">
        <f>SUM(B27:B30)</f>
        <v>7615122</v>
      </c>
      <c r="C31" s="911">
        <f t="shared" ref="C31:D31" si="13">SUM(C27:C30)</f>
        <v>785227</v>
      </c>
      <c r="D31" s="911">
        <f t="shared" si="13"/>
        <v>8400349</v>
      </c>
      <c r="E31" s="911"/>
      <c r="F31" s="911">
        <f>SUM(F27:F30)</f>
        <v>0</v>
      </c>
      <c r="G31" s="911">
        <f t="shared" ref="G31:H31" si="14">SUM(G27:G30)</f>
        <v>0</v>
      </c>
      <c r="H31" s="911">
        <f t="shared" si="14"/>
        <v>0</v>
      </c>
      <c r="I31" s="924"/>
    </row>
    <row r="32" spans="1:9" x14ac:dyDescent="0.3">
      <c r="A32" s="907"/>
      <c r="B32" s="18"/>
      <c r="C32" s="18"/>
      <c r="D32" s="18"/>
      <c r="E32" s="18"/>
      <c r="F32" s="18"/>
      <c r="G32" s="18"/>
      <c r="H32" s="18"/>
      <c r="I32" s="924"/>
    </row>
    <row r="33" spans="1:10" ht="32.25" customHeight="1" x14ac:dyDescent="0.3">
      <c r="A33" s="1038" t="s">
        <v>956</v>
      </c>
      <c r="B33" s="1039"/>
      <c r="C33" s="908" t="s">
        <v>957</v>
      </c>
      <c r="D33" s="908" t="s">
        <v>958</v>
      </c>
      <c r="E33" s="925" t="s">
        <v>959</v>
      </c>
      <c r="F33" s="18"/>
      <c r="G33" s="18"/>
      <c r="H33" s="18"/>
      <c r="I33" s="924"/>
    </row>
    <row r="34" spans="1:10" x14ac:dyDescent="0.3">
      <c r="A34" s="1040" t="s">
        <v>960</v>
      </c>
      <c r="B34" s="1037"/>
      <c r="C34" s="910"/>
      <c r="D34" s="923">
        <f>IF(D21,C34/D21-1,0)</f>
        <v>0</v>
      </c>
      <c r="E34" s="911"/>
      <c r="F34" s="18"/>
      <c r="G34" s="18"/>
      <c r="H34" s="18"/>
      <c r="I34" s="924"/>
    </row>
    <row r="35" spans="1:10" x14ac:dyDescent="0.3">
      <c r="A35" s="1038" t="s">
        <v>961</v>
      </c>
      <c r="B35" s="1039"/>
      <c r="C35" s="910"/>
      <c r="D35" s="923">
        <f>IF(C21,C35/C21-1,0)</f>
        <v>0</v>
      </c>
      <c r="E35" s="911"/>
      <c r="F35" s="18"/>
      <c r="G35" s="18"/>
      <c r="H35" s="18"/>
      <c r="I35" s="924"/>
    </row>
    <row r="36" spans="1:10" x14ac:dyDescent="0.3">
      <c r="A36" s="907"/>
      <c r="B36" s="927" t="s">
        <v>962</v>
      </c>
      <c r="C36" s="911">
        <f>SUM(C34:C35)</f>
        <v>0</v>
      </c>
      <c r="D36" s="923">
        <f>IF((C21+D21),C36/(C21+D21),0)</f>
        <v>0</v>
      </c>
      <c r="E36" s="928">
        <v>0.05</v>
      </c>
      <c r="F36" s="18"/>
      <c r="G36" s="18"/>
      <c r="H36" s="18"/>
      <c r="I36" s="924"/>
    </row>
    <row r="37" spans="1:10" x14ac:dyDescent="0.3">
      <c r="A37" s="907"/>
      <c r="B37" s="927"/>
      <c r="C37" s="911"/>
      <c r="D37" s="911"/>
      <c r="E37" s="928"/>
      <c r="F37" s="18"/>
      <c r="G37" s="18"/>
      <c r="H37" s="18"/>
      <c r="I37" s="924"/>
    </row>
    <row r="38" spans="1:10" x14ac:dyDescent="0.3">
      <c r="A38" s="904" t="s">
        <v>983</v>
      </c>
      <c r="B38" s="905"/>
      <c r="C38" s="905"/>
      <c r="D38" s="905"/>
      <c r="E38" s="905"/>
      <c r="F38" s="905"/>
      <c r="G38" s="905"/>
      <c r="H38" s="905"/>
      <c r="I38" s="906"/>
    </row>
    <row r="39" spans="1:10" ht="49.5" x14ac:dyDescent="0.3">
      <c r="A39" s="907"/>
      <c r="B39" s="925" t="s">
        <v>963</v>
      </c>
      <c r="C39" s="925" t="s">
        <v>964</v>
      </c>
      <c r="D39" s="925" t="s">
        <v>965</v>
      </c>
      <c r="E39" s="925" t="s">
        <v>203</v>
      </c>
      <c r="F39" s="925" t="s">
        <v>966</v>
      </c>
      <c r="G39" s="925" t="s">
        <v>967</v>
      </c>
      <c r="H39" s="925" t="s">
        <v>968</v>
      </c>
      <c r="I39" s="909" t="s">
        <v>981</v>
      </c>
      <c r="J39" s="901"/>
    </row>
    <row r="40" spans="1:10" ht="33" x14ac:dyDescent="0.3">
      <c r="A40" s="929" t="s">
        <v>984</v>
      </c>
      <c r="B40" s="935">
        <v>3781</v>
      </c>
      <c r="C40" s="935">
        <v>3843</v>
      </c>
      <c r="D40" s="911">
        <f>+C40-B40</f>
        <v>62</v>
      </c>
      <c r="E40" s="930">
        <f>+D40/B40</f>
        <v>1.6397778365511768E-2</v>
      </c>
      <c r="F40" s="934">
        <v>1.9E-2</v>
      </c>
      <c r="G40" s="934">
        <v>2.8000000000000001E-2</v>
      </c>
      <c r="H40" s="934">
        <v>1.6E-2</v>
      </c>
      <c r="I40" s="936">
        <v>6.0999999999999999E-2</v>
      </c>
    </row>
    <row r="41" spans="1:10" x14ac:dyDescent="0.3">
      <c r="A41" s="929"/>
      <c r="B41" s="18"/>
      <c r="C41" s="18"/>
      <c r="D41" s="18"/>
      <c r="E41" s="18"/>
      <c r="F41" s="18"/>
      <c r="G41" s="18"/>
      <c r="H41" s="18"/>
      <c r="I41" s="924"/>
    </row>
    <row r="42" spans="1:10" x14ac:dyDescent="0.3">
      <c r="A42" s="932" t="s">
        <v>969</v>
      </c>
      <c r="B42" s="18"/>
      <c r="C42" s="18"/>
      <c r="D42" s="18"/>
      <c r="E42" s="18"/>
      <c r="F42" s="18"/>
      <c r="G42" s="18"/>
      <c r="H42" s="18"/>
      <c r="I42" s="924"/>
    </row>
    <row r="43" spans="1:10" ht="33" customHeight="1" x14ac:dyDescent="0.3">
      <c r="A43" s="907"/>
      <c r="B43" s="908" t="s">
        <v>979</v>
      </c>
      <c r="C43" s="908" t="s">
        <v>980</v>
      </c>
      <c r="D43" s="908" t="s">
        <v>978</v>
      </c>
      <c r="E43" s="908" t="s">
        <v>971</v>
      </c>
      <c r="F43" s="908" t="s">
        <v>970</v>
      </c>
      <c r="I43" s="924"/>
    </row>
    <row r="44" spans="1:10" x14ac:dyDescent="0.3">
      <c r="A44" s="907" t="s">
        <v>972</v>
      </c>
      <c r="B44" s="935">
        <v>968</v>
      </c>
      <c r="C44" s="935">
        <v>2824</v>
      </c>
      <c r="D44" s="935">
        <v>7710</v>
      </c>
      <c r="E44" s="935">
        <v>88</v>
      </c>
      <c r="F44" s="935">
        <v>255</v>
      </c>
      <c r="I44" s="924"/>
    </row>
    <row r="45" spans="1:10" x14ac:dyDescent="0.3">
      <c r="A45" s="907" t="s">
        <v>973</v>
      </c>
      <c r="B45" s="935">
        <v>968</v>
      </c>
      <c r="C45" s="935">
        <v>3147</v>
      </c>
      <c r="D45" s="935">
        <v>5541</v>
      </c>
      <c r="E45" s="935">
        <v>21</v>
      </c>
      <c r="F45" s="935">
        <v>78</v>
      </c>
      <c r="I45" s="924"/>
    </row>
    <row r="46" spans="1:10" x14ac:dyDescent="0.3">
      <c r="A46" s="907" t="s">
        <v>982</v>
      </c>
      <c r="B46" s="935">
        <v>1104</v>
      </c>
      <c r="C46" s="935">
        <v>3835</v>
      </c>
      <c r="D46" s="935">
        <v>10890</v>
      </c>
      <c r="E46" s="935">
        <v>4</v>
      </c>
      <c r="F46" s="935">
        <v>11</v>
      </c>
      <c r="I46" s="924"/>
    </row>
    <row r="47" spans="1:10" x14ac:dyDescent="0.3">
      <c r="A47" s="907" t="s">
        <v>995</v>
      </c>
      <c r="B47" s="935">
        <v>962</v>
      </c>
      <c r="C47" s="935">
        <v>3640</v>
      </c>
      <c r="D47" s="935">
        <v>14616</v>
      </c>
      <c r="E47" s="935">
        <v>457</v>
      </c>
      <c r="F47" s="935">
        <v>935</v>
      </c>
      <c r="I47" s="924"/>
    </row>
    <row r="48" spans="1:10" x14ac:dyDescent="0.3">
      <c r="A48" s="916"/>
      <c r="B48" s="917"/>
      <c r="C48" s="917"/>
      <c r="D48" s="917"/>
      <c r="E48" s="917"/>
      <c r="F48" s="917"/>
      <c r="G48" s="917"/>
      <c r="H48" s="917"/>
      <c r="I48" s="918"/>
    </row>
    <row r="49" spans="1:4" x14ac:dyDescent="0.3">
      <c r="A49" s="124" t="s">
        <v>985</v>
      </c>
    </row>
    <row r="50" spans="1:4" x14ac:dyDescent="0.3">
      <c r="A50" s="124" t="s">
        <v>999</v>
      </c>
      <c r="B50" s="903"/>
      <c r="C50" s="903"/>
      <c r="D50" s="903"/>
    </row>
    <row r="51" spans="1:4" x14ac:dyDescent="0.3">
      <c r="A51" s="124" t="s">
        <v>986</v>
      </c>
      <c r="B51" s="903"/>
      <c r="C51" s="903"/>
      <c r="D51" s="903"/>
    </row>
    <row r="52" spans="1:4" x14ac:dyDescent="0.3">
      <c r="A52" s="124" t="s">
        <v>987</v>
      </c>
      <c r="B52" s="903"/>
      <c r="C52" s="903"/>
      <c r="D52" s="903"/>
    </row>
    <row r="53" spans="1:4" x14ac:dyDescent="0.3">
      <c r="A53" s="124" t="s">
        <v>988</v>
      </c>
      <c r="B53" s="903"/>
      <c r="C53" s="903"/>
      <c r="D53" s="903"/>
    </row>
    <row r="54" spans="1:4" x14ac:dyDescent="0.3">
      <c r="A54" s="124" t="s">
        <v>996</v>
      </c>
      <c r="B54" s="903"/>
      <c r="C54" s="903"/>
      <c r="D54" s="903"/>
    </row>
    <row r="55" spans="1:4" x14ac:dyDescent="0.3">
      <c r="B55" s="903"/>
      <c r="C55" s="903"/>
      <c r="D55" s="903"/>
    </row>
    <row r="56" spans="1:4" x14ac:dyDescent="0.3">
      <c r="B56" s="903"/>
      <c r="C56" s="903"/>
      <c r="D56" s="903"/>
    </row>
    <row r="57" spans="1:4" x14ac:dyDescent="0.3">
      <c r="B57" s="903"/>
      <c r="C57" s="903"/>
      <c r="D57" s="903"/>
    </row>
    <row r="58" spans="1:4" x14ac:dyDescent="0.3">
      <c r="B58" s="903"/>
      <c r="C58" s="903"/>
      <c r="D58" s="903"/>
    </row>
    <row r="59" spans="1:4" x14ac:dyDescent="0.3">
      <c r="B59" s="903"/>
      <c r="C59" s="903"/>
      <c r="D59" s="903"/>
    </row>
    <row r="60" spans="1:4" x14ac:dyDescent="0.3">
      <c r="B60" s="903"/>
      <c r="C60" s="903"/>
      <c r="D60" s="903"/>
    </row>
    <row r="61" spans="1:4" x14ac:dyDescent="0.3">
      <c r="B61" s="903"/>
      <c r="C61" s="903"/>
      <c r="D61" s="903"/>
    </row>
    <row r="62" spans="1:4" x14ac:dyDescent="0.3">
      <c r="B62" s="903"/>
      <c r="C62" s="903"/>
      <c r="D62" s="903"/>
    </row>
  </sheetData>
  <mergeCells count="5">
    <mergeCell ref="B25:D25"/>
    <mergeCell ref="F25:H25"/>
    <mergeCell ref="A33:B33"/>
    <mergeCell ref="A34:B34"/>
    <mergeCell ref="A35:B35"/>
  </mergeCells>
  <pageMargins left="0.7" right="0.7" top="0.75" bottom="0.75" header="0.3" footer="0.3"/>
  <pageSetup scale="5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1002"/>
  <sheetViews>
    <sheetView showGridLines="0" view="pageBreakPreview" zoomScaleNormal="100" zoomScaleSheetLayoutView="100" workbookViewId="0"/>
  </sheetViews>
  <sheetFormatPr defaultRowHeight="20.100000000000001" customHeight="1" x14ac:dyDescent="0.2"/>
  <cols>
    <col min="1" max="1" width="1.5703125" style="165" customWidth="1"/>
    <col min="2" max="2" width="1.85546875" style="165" customWidth="1"/>
    <col min="3" max="3" width="26.28515625" style="165" customWidth="1"/>
    <col min="4" max="4" width="1.140625" style="165" customWidth="1"/>
    <col min="5" max="5" width="23.5703125" style="165" hidden="1" customWidth="1"/>
    <col min="6" max="6" width="1.140625" style="165" hidden="1" customWidth="1"/>
    <col min="7" max="7" width="14.7109375" style="168" hidden="1" customWidth="1"/>
    <col min="8" max="8" width="18.140625" style="167" hidden="1" customWidth="1"/>
    <col min="9" max="9" width="1.140625" style="165" hidden="1" customWidth="1"/>
    <col min="10" max="10" width="11" style="168" hidden="1" customWidth="1"/>
    <col min="11" max="11" width="11" style="166" hidden="1" customWidth="1"/>
    <col min="12" max="12" width="11" style="165" hidden="1" customWidth="1"/>
    <col min="13" max="13" width="7.5703125" style="165" hidden="1" customWidth="1"/>
    <col min="14" max="14" width="1.140625" style="165" hidden="1" customWidth="1"/>
    <col min="15" max="15" width="11" style="168" hidden="1" customWidth="1"/>
    <col min="16" max="18" width="11" style="166" hidden="1" customWidth="1"/>
    <col min="19" max="19" width="1.140625" style="165" hidden="1" customWidth="1"/>
    <col min="20" max="20" width="16.140625" style="167" hidden="1" customWidth="1"/>
    <col min="21" max="21" width="8.42578125" style="165" hidden="1" customWidth="1"/>
    <col min="22" max="22" width="1" style="165" hidden="1" customWidth="1"/>
    <col min="23" max="23" width="14.5703125" style="165" customWidth="1"/>
    <col min="24" max="24" width="1.140625" style="165" customWidth="1"/>
    <col min="25" max="27" width="11" style="166" hidden="1" customWidth="1"/>
    <col min="28" max="28" width="13.42578125" style="165" bestFit="1" customWidth="1"/>
    <col min="29" max="29" width="8.28515625" style="165" bestFit="1" customWidth="1"/>
    <col min="30" max="30" width="1.28515625" style="165" customWidth="1"/>
    <col min="31" max="31" width="11" style="166" hidden="1" customWidth="1"/>
    <col min="32" max="32" width="11.85546875" style="165" customWidth="1"/>
    <col min="33" max="33" width="8.140625" style="165" customWidth="1"/>
    <col min="34" max="34" width="1.42578125" style="165" customWidth="1"/>
    <col min="35" max="35" width="11.85546875" style="165" customWidth="1"/>
    <col min="36" max="36" width="8.5703125" style="165" customWidth="1"/>
    <col min="37" max="37" width="1.42578125" style="165" customWidth="1"/>
    <col min="38" max="38" width="11.85546875" style="165" customWidth="1"/>
    <col min="39" max="39" width="8.5703125" style="165" customWidth="1"/>
    <col min="40" max="40" width="1.42578125" style="165" customWidth="1"/>
    <col min="41" max="41" width="13.85546875" style="165" customWidth="1"/>
    <col min="42" max="42" width="8.28515625" style="165" bestFit="1" customWidth="1"/>
    <col min="43" max="43" width="1.140625" style="165" customWidth="1"/>
    <col min="44" max="44" width="14" style="165" bestFit="1" customWidth="1"/>
    <col min="45" max="46" width="15" style="165" hidden="1" customWidth="1"/>
    <col min="47" max="47" width="0" style="165" hidden="1" customWidth="1"/>
    <col min="48" max="48" width="13" style="165" hidden="1" customWidth="1"/>
    <col min="49" max="49" width="18.42578125" style="165" hidden="1" customWidth="1"/>
    <col min="50" max="252" width="9.140625" style="165"/>
    <col min="253" max="253" width="1.5703125" style="165" customWidth="1"/>
    <col min="254" max="254" width="1.85546875" style="165" customWidth="1"/>
    <col min="255" max="255" width="24.28515625" style="165" customWidth="1"/>
    <col min="256" max="274" width="0" style="165" hidden="1" customWidth="1"/>
    <col min="275" max="275" width="14.5703125" style="165" customWidth="1"/>
    <col min="276" max="276" width="1.140625" style="165" customWidth="1"/>
    <col min="277" max="279" width="0" style="165" hidden="1" customWidth="1"/>
    <col min="280" max="280" width="13.28515625" style="165" customWidth="1"/>
    <col min="281" max="281" width="8.28515625" style="165" bestFit="1" customWidth="1"/>
    <col min="282" max="282" width="1.28515625" style="165" customWidth="1"/>
    <col min="283" max="283" width="0" style="165" hidden="1" customWidth="1"/>
    <col min="284" max="284" width="11.85546875" style="165" customWidth="1"/>
    <col min="285" max="285" width="7.140625" style="165" bestFit="1" customWidth="1"/>
    <col min="286" max="286" width="1.42578125" style="165" customWidth="1"/>
    <col min="287" max="287" width="13" style="165" customWidth="1"/>
    <col min="288" max="288" width="8.28515625" style="165" bestFit="1" customWidth="1"/>
    <col min="289" max="289" width="1.140625" style="165" customWidth="1"/>
    <col min="290" max="290" width="15.7109375" style="165" customWidth="1"/>
    <col min="291" max="291" width="1.140625" style="165" customWidth="1"/>
    <col min="292" max="292" width="9.140625" style="165"/>
    <col min="293" max="294" width="19.42578125" style="165" customWidth="1"/>
    <col min="295" max="295" width="9.140625" style="165"/>
    <col min="296" max="296" width="12.7109375" style="165" bestFit="1" customWidth="1"/>
    <col min="297" max="297" width="9.140625" style="165"/>
    <col min="298" max="298" width="11.7109375" style="165" bestFit="1" customWidth="1"/>
    <col min="299" max="299" width="10.7109375" style="165" bestFit="1" customWidth="1"/>
    <col min="300" max="508" width="9.140625" style="165"/>
    <col min="509" max="509" width="1.5703125" style="165" customWidth="1"/>
    <col min="510" max="510" width="1.85546875" style="165" customWidth="1"/>
    <col min="511" max="511" width="24.28515625" style="165" customWidth="1"/>
    <col min="512" max="530" width="0" style="165" hidden="1" customWidth="1"/>
    <col min="531" max="531" width="14.5703125" style="165" customWidth="1"/>
    <col min="532" max="532" width="1.140625" style="165" customWidth="1"/>
    <col min="533" max="535" width="0" style="165" hidden="1" customWidth="1"/>
    <col min="536" max="536" width="13.28515625" style="165" customWidth="1"/>
    <col min="537" max="537" width="8.28515625" style="165" bestFit="1" customWidth="1"/>
    <col min="538" max="538" width="1.28515625" style="165" customWidth="1"/>
    <col min="539" max="539" width="0" style="165" hidden="1" customWidth="1"/>
    <col min="540" max="540" width="11.85546875" style="165" customWidth="1"/>
    <col min="541" max="541" width="7.140625" style="165" bestFit="1" customWidth="1"/>
    <col min="542" max="542" width="1.42578125" style="165" customWidth="1"/>
    <col min="543" max="543" width="13" style="165" customWidth="1"/>
    <col min="544" max="544" width="8.28515625" style="165" bestFit="1" customWidth="1"/>
    <col min="545" max="545" width="1.140625" style="165" customWidth="1"/>
    <col min="546" max="546" width="15.7109375" style="165" customWidth="1"/>
    <col min="547" max="547" width="1.140625" style="165" customWidth="1"/>
    <col min="548" max="548" width="9.140625" style="165"/>
    <col min="549" max="550" width="19.42578125" style="165" customWidth="1"/>
    <col min="551" max="551" width="9.140625" style="165"/>
    <col min="552" max="552" width="12.7109375" style="165" bestFit="1" customWidth="1"/>
    <col min="553" max="553" width="9.140625" style="165"/>
    <col min="554" max="554" width="11.7109375" style="165" bestFit="1" customWidth="1"/>
    <col min="555" max="555" width="10.7109375" style="165" bestFit="1" customWidth="1"/>
    <col min="556" max="764" width="9.140625" style="165"/>
    <col min="765" max="765" width="1.5703125" style="165" customWidth="1"/>
    <col min="766" max="766" width="1.85546875" style="165" customWidth="1"/>
    <col min="767" max="767" width="24.28515625" style="165" customWidth="1"/>
    <col min="768" max="786" width="0" style="165" hidden="1" customWidth="1"/>
    <col min="787" max="787" width="14.5703125" style="165" customWidth="1"/>
    <col min="788" max="788" width="1.140625" style="165" customWidth="1"/>
    <col min="789" max="791" width="0" style="165" hidden="1" customWidth="1"/>
    <col min="792" max="792" width="13.28515625" style="165" customWidth="1"/>
    <col min="793" max="793" width="8.28515625" style="165" bestFit="1" customWidth="1"/>
    <col min="794" max="794" width="1.28515625" style="165" customWidth="1"/>
    <col min="795" max="795" width="0" style="165" hidden="1" customWidth="1"/>
    <col min="796" max="796" width="11.85546875" style="165" customWidth="1"/>
    <col min="797" max="797" width="7.140625" style="165" bestFit="1" customWidth="1"/>
    <col min="798" max="798" width="1.42578125" style="165" customWidth="1"/>
    <col min="799" max="799" width="13" style="165" customWidth="1"/>
    <col min="800" max="800" width="8.28515625" style="165" bestFit="1" customWidth="1"/>
    <col min="801" max="801" width="1.140625" style="165" customWidth="1"/>
    <col min="802" max="802" width="15.7109375" style="165" customWidth="1"/>
    <col min="803" max="803" width="1.140625" style="165" customWidth="1"/>
    <col min="804" max="804" width="9.140625" style="165"/>
    <col min="805" max="806" width="19.42578125" style="165" customWidth="1"/>
    <col min="807" max="807" width="9.140625" style="165"/>
    <col min="808" max="808" width="12.7109375" style="165" bestFit="1" customWidth="1"/>
    <col min="809" max="809" width="9.140625" style="165"/>
    <col min="810" max="810" width="11.7109375" style="165" bestFit="1" customWidth="1"/>
    <col min="811" max="811" width="10.7109375" style="165" bestFit="1" customWidth="1"/>
    <col min="812" max="1020" width="9.140625" style="165"/>
    <col min="1021" max="1021" width="1.5703125" style="165" customWidth="1"/>
    <col min="1022" max="1022" width="1.85546875" style="165" customWidth="1"/>
    <col min="1023" max="1023" width="24.28515625" style="165" customWidth="1"/>
    <col min="1024" max="1042" width="0" style="165" hidden="1" customWidth="1"/>
    <col min="1043" max="1043" width="14.5703125" style="165" customWidth="1"/>
    <col min="1044" max="1044" width="1.140625" style="165" customWidth="1"/>
    <col min="1045" max="1047" width="0" style="165" hidden="1" customWidth="1"/>
    <col min="1048" max="1048" width="13.28515625" style="165" customWidth="1"/>
    <col min="1049" max="1049" width="8.28515625" style="165" bestFit="1" customWidth="1"/>
    <col min="1050" max="1050" width="1.28515625" style="165" customWidth="1"/>
    <col min="1051" max="1051" width="0" style="165" hidden="1" customWidth="1"/>
    <col min="1052" max="1052" width="11.85546875" style="165" customWidth="1"/>
    <col min="1053" max="1053" width="7.140625" style="165" bestFit="1" customWidth="1"/>
    <col min="1054" max="1054" width="1.42578125" style="165" customWidth="1"/>
    <col min="1055" max="1055" width="13" style="165" customWidth="1"/>
    <col min="1056" max="1056" width="8.28515625" style="165" bestFit="1" customWidth="1"/>
    <col min="1057" max="1057" width="1.140625" style="165" customWidth="1"/>
    <col min="1058" max="1058" width="15.7109375" style="165" customWidth="1"/>
    <col min="1059" max="1059" width="1.140625" style="165" customWidth="1"/>
    <col min="1060" max="1060" width="9.140625" style="165"/>
    <col min="1061" max="1062" width="19.42578125" style="165" customWidth="1"/>
    <col min="1063" max="1063" width="9.140625" style="165"/>
    <col min="1064" max="1064" width="12.7109375" style="165" bestFit="1" customWidth="1"/>
    <col min="1065" max="1065" width="9.140625" style="165"/>
    <col min="1066" max="1066" width="11.7109375" style="165" bestFit="1" customWidth="1"/>
    <col min="1067" max="1067" width="10.7109375" style="165" bestFit="1" customWidth="1"/>
    <col min="1068" max="1276" width="9.140625" style="165"/>
    <col min="1277" max="1277" width="1.5703125" style="165" customWidth="1"/>
    <col min="1278" max="1278" width="1.85546875" style="165" customWidth="1"/>
    <col min="1279" max="1279" width="24.28515625" style="165" customWidth="1"/>
    <col min="1280" max="1298" width="0" style="165" hidden="1" customWidth="1"/>
    <col min="1299" max="1299" width="14.5703125" style="165" customWidth="1"/>
    <col min="1300" max="1300" width="1.140625" style="165" customWidth="1"/>
    <col min="1301" max="1303" width="0" style="165" hidden="1" customWidth="1"/>
    <col min="1304" max="1304" width="13.28515625" style="165" customWidth="1"/>
    <col min="1305" max="1305" width="8.28515625" style="165" bestFit="1" customWidth="1"/>
    <col min="1306" max="1306" width="1.28515625" style="165" customWidth="1"/>
    <col min="1307" max="1307" width="0" style="165" hidden="1" customWidth="1"/>
    <col min="1308" max="1308" width="11.85546875" style="165" customWidth="1"/>
    <col min="1309" max="1309" width="7.140625" style="165" bestFit="1" customWidth="1"/>
    <col min="1310" max="1310" width="1.42578125" style="165" customWidth="1"/>
    <col min="1311" max="1311" width="13" style="165" customWidth="1"/>
    <col min="1312" max="1312" width="8.28515625" style="165" bestFit="1" customWidth="1"/>
    <col min="1313" max="1313" width="1.140625" style="165" customWidth="1"/>
    <col min="1314" max="1314" width="15.7109375" style="165" customWidth="1"/>
    <col min="1315" max="1315" width="1.140625" style="165" customWidth="1"/>
    <col min="1316" max="1316" width="9.140625" style="165"/>
    <col min="1317" max="1318" width="19.42578125" style="165" customWidth="1"/>
    <col min="1319" max="1319" width="9.140625" style="165"/>
    <col min="1320" max="1320" width="12.7109375" style="165" bestFit="1" customWidth="1"/>
    <col min="1321" max="1321" width="9.140625" style="165"/>
    <col min="1322" max="1322" width="11.7109375" style="165" bestFit="1" customWidth="1"/>
    <col min="1323" max="1323" width="10.7109375" style="165" bestFit="1" customWidth="1"/>
    <col min="1324" max="1532" width="9.140625" style="165"/>
    <col min="1533" max="1533" width="1.5703125" style="165" customWidth="1"/>
    <col min="1534" max="1534" width="1.85546875" style="165" customWidth="1"/>
    <col min="1535" max="1535" width="24.28515625" style="165" customWidth="1"/>
    <col min="1536" max="1554" width="0" style="165" hidden="1" customWidth="1"/>
    <col min="1555" max="1555" width="14.5703125" style="165" customWidth="1"/>
    <col min="1556" max="1556" width="1.140625" style="165" customWidth="1"/>
    <col min="1557" max="1559" width="0" style="165" hidden="1" customWidth="1"/>
    <col min="1560" max="1560" width="13.28515625" style="165" customWidth="1"/>
    <col min="1561" max="1561" width="8.28515625" style="165" bestFit="1" customWidth="1"/>
    <col min="1562" max="1562" width="1.28515625" style="165" customWidth="1"/>
    <col min="1563" max="1563" width="0" style="165" hidden="1" customWidth="1"/>
    <col min="1564" max="1564" width="11.85546875" style="165" customWidth="1"/>
    <col min="1565" max="1565" width="7.140625" style="165" bestFit="1" customWidth="1"/>
    <col min="1566" max="1566" width="1.42578125" style="165" customWidth="1"/>
    <col min="1567" max="1567" width="13" style="165" customWidth="1"/>
    <col min="1568" max="1568" width="8.28515625" style="165" bestFit="1" customWidth="1"/>
    <col min="1569" max="1569" width="1.140625" style="165" customWidth="1"/>
    <col min="1570" max="1570" width="15.7109375" style="165" customWidth="1"/>
    <col min="1571" max="1571" width="1.140625" style="165" customWidth="1"/>
    <col min="1572" max="1572" width="9.140625" style="165"/>
    <col min="1573" max="1574" width="19.42578125" style="165" customWidth="1"/>
    <col min="1575" max="1575" width="9.140625" style="165"/>
    <col min="1576" max="1576" width="12.7109375" style="165" bestFit="1" customWidth="1"/>
    <col min="1577" max="1577" width="9.140625" style="165"/>
    <col min="1578" max="1578" width="11.7109375" style="165" bestFit="1" customWidth="1"/>
    <col min="1579" max="1579" width="10.7109375" style="165" bestFit="1" customWidth="1"/>
    <col min="1580" max="1788" width="9.140625" style="165"/>
    <col min="1789" max="1789" width="1.5703125" style="165" customWidth="1"/>
    <col min="1790" max="1790" width="1.85546875" style="165" customWidth="1"/>
    <col min="1791" max="1791" width="24.28515625" style="165" customWidth="1"/>
    <col min="1792" max="1810" width="0" style="165" hidden="1" customWidth="1"/>
    <col min="1811" max="1811" width="14.5703125" style="165" customWidth="1"/>
    <col min="1812" max="1812" width="1.140625" style="165" customWidth="1"/>
    <col min="1813" max="1815" width="0" style="165" hidden="1" customWidth="1"/>
    <col min="1816" max="1816" width="13.28515625" style="165" customWidth="1"/>
    <col min="1817" max="1817" width="8.28515625" style="165" bestFit="1" customWidth="1"/>
    <col min="1818" max="1818" width="1.28515625" style="165" customWidth="1"/>
    <col min="1819" max="1819" width="0" style="165" hidden="1" customWidth="1"/>
    <col min="1820" max="1820" width="11.85546875" style="165" customWidth="1"/>
    <col min="1821" max="1821" width="7.140625" style="165" bestFit="1" customWidth="1"/>
    <col min="1822" max="1822" width="1.42578125" style="165" customWidth="1"/>
    <col min="1823" max="1823" width="13" style="165" customWidth="1"/>
    <col min="1824" max="1824" width="8.28515625" style="165" bestFit="1" customWidth="1"/>
    <col min="1825" max="1825" width="1.140625" style="165" customWidth="1"/>
    <col min="1826" max="1826" width="15.7109375" style="165" customWidth="1"/>
    <col min="1827" max="1827" width="1.140625" style="165" customWidth="1"/>
    <col min="1828" max="1828" width="9.140625" style="165"/>
    <col min="1829" max="1830" width="19.42578125" style="165" customWidth="1"/>
    <col min="1831" max="1831" width="9.140625" style="165"/>
    <col min="1832" max="1832" width="12.7109375" style="165" bestFit="1" customWidth="1"/>
    <col min="1833" max="1833" width="9.140625" style="165"/>
    <col min="1834" max="1834" width="11.7109375" style="165" bestFit="1" customWidth="1"/>
    <col min="1835" max="1835" width="10.7109375" style="165" bestFit="1" customWidth="1"/>
    <col min="1836" max="2044" width="9.140625" style="165"/>
    <col min="2045" max="2045" width="1.5703125" style="165" customWidth="1"/>
    <col min="2046" max="2046" width="1.85546875" style="165" customWidth="1"/>
    <col min="2047" max="2047" width="24.28515625" style="165" customWidth="1"/>
    <col min="2048" max="2066" width="0" style="165" hidden="1" customWidth="1"/>
    <col min="2067" max="2067" width="14.5703125" style="165" customWidth="1"/>
    <col min="2068" max="2068" width="1.140625" style="165" customWidth="1"/>
    <col min="2069" max="2071" width="0" style="165" hidden="1" customWidth="1"/>
    <col min="2072" max="2072" width="13.28515625" style="165" customWidth="1"/>
    <col min="2073" max="2073" width="8.28515625" style="165" bestFit="1" customWidth="1"/>
    <col min="2074" max="2074" width="1.28515625" style="165" customWidth="1"/>
    <col min="2075" max="2075" width="0" style="165" hidden="1" customWidth="1"/>
    <col min="2076" max="2076" width="11.85546875" style="165" customWidth="1"/>
    <col min="2077" max="2077" width="7.140625" style="165" bestFit="1" customWidth="1"/>
    <col min="2078" max="2078" width="1.42578125" style="165" customWidth="1"/>
    <col min="2079" max="2079" width="13" style="165" customWidth="1"/>
    <col min="2080" max="2080" width="8.28515625" style="165" bestFit="1" customWidth="1"/>
    <col min="2081" max="2081" width="1.140625" style="165" customWidth="1"/>
    <col min="2082" max="2082" width="15.7109375" style="165" customWidth="1"/>
    <col min="2083" max="2083" width="1.140625" style="165" customWidth="1"/>
    <col min="2084" max="2084" width="9.140625" style="165"/>
    <col min="2085" max="2086" width="19.42578125" style="165" customWidth="1"/>
    <col min="2087" max="2087" width="9.140625" style="165"/>
    <col min="2088" max="2088" width="12.7109375" style="165" bestFit="1" customWidth="1"/>
    <col min="2089" max="2089" width="9.140625" style="165"/>
    <col min="2090" max="2090" width="11.7109375" style="165" bestFit="1" customWidth="1"/>
    <col min="2091" max="2091" width="10.7109375" style="165" bestFit="1" customWidth="1"/>
    <col min="2092" max="2300" width="9.140625" style="165"/>
    <col min="2301" max="2301" width="1.5703125" style="165" customWidth="1"/>
    <col min="2302" max="2302" width="1.85546875" style="165" customWidth="1"/>
    <col min="2303" max="2303" width="24.28515625" style="165" customWidth="1"/>
    <col min="2304" max="2322" width="0" style="165" hidden="1" customWidth="1"/>
    <col min="2323" max="2323" width="14.5703125" style="165" customWidth="1"/>
    <col min="2324" max="2324" width="1.140625" style="165" customWidth="1"/>
    <col min="2325" max="2327" width="0" style="165" hidden="1" customWidth="1"/>
    <col min="2328" max="2328" width="13.28515625" style="165" customWidth="1"/>
    <col min="2329" max="2329" width="8.28515625" style="165" bestFit="1" customWidth="1"/>
    <col min="2330" max="2330" width="1.28515625" style="165" customWidth="1"/>
    <col min="2331" max="2331" width="0" style="165" hidden="1" customWidth="1"/>
    <col min="2332" max="2332" width="11.85546875" style="165" customWidth="1"/>
    <col min="2333" max="2333" width="7.140625" style="165" bestFit="1" customWidth="1"/>
    <col min="2334" max="2334" width="1.42578125" style="165" customWidth="1"/>
    <col min="2335" max="2335" width="13" style="165" customWidth="1"/>
    <col min="2336" max="2336" width="8.28515625" style="165" bestFit="1" customWidth="1"/>
    <col min="2337" max="2337" width="1.140625" style="165" customWidth="1"/>
    <col min="2338" max="2338" width="15.7109375" style="165" customWidth="1"/>
    <col min="2339" max="2339" width="1.140625" style="165" customWidth="1"/>
    <col min="2340" max="2340" width="9.140625" style="165"/>
    <col min="2341" max="2342" width="19.42578125" style="165" customWidth="1"/>
    <col min="2343" max="2343" width="9.140625" style="165"/>
    <col min="2344" max="2344" width="12.7109375" style="165" bestFit="1" customWidth="1"/>
    <col min="2345" max="2345" width="9.140625" style="165"/>
    <col min="2346" max="2346" width="11.7109375" style="165" bestFit="1" customWidth="1"/>
    <col min="2347" max="2347" width="10.7109375" style="165" bestFit="1" customWidth="1"/>
    <col min="2348" max="2556" width="9.140625" style="165"/>
    <col min="2557" max="2557" width="1.5703125" style="165" customWidth="1"/>
    <col min="2558" max="2558" width="1.85546875" style="165" customWidth="1"/>
    <col min="2559" max="2559" width="24.28515625" style="165" customWidth="1"/>
    <col min="2560" max="2578" width="0" style="165" hidden="1" customWidth="1"/>
    <col min="2579" max="2579" width="14.5703125" style="165" customWidth="1"/>
    <col min="2580" max="2580" width="1.140625" style="165" customWidth="1"/>
    <col min="2581" max="2583" width="0" style="165" hidden="1" customWidth="1"/>
    <col min="2584" max="2584" width="13.28515625" style="165" customWidth="1"/>
    <col min="2585" max="2585" width="8.28515625" style="165" bestFit="1" customWidth="1"/>
    <col min="2586" max="2586" width="1.28515625" style="165" customWidth="1"/>
    <col min="2587" max="2587" width="0" style="165" hidden="1" customWidth="1"/>
    <col min="2588" max="2588" width="11.85546875" style="165" customWidth="1"/>
    <col min="2589" max="2589" width="7.140625" style="165" bestFit="1" customWidth="1"/>
    <col min="2590" max="2590" width="1.42578125" style="165" customWidth="1"/>
    <col min="2591" max="2591" width="13" style="165" customWidth="1"/>
    <col min="2592" max="2592" width="8.28515625" style="165" bestFit="1" customWidth="1"/>
    <col min="2593" max="2593" width="1.140625" style="165" customWidth="1"/>
    <col min="2594" max="2594" width="15.7109375" style="165" customWidth="1"/>
    <col min="2595" max="2595" width="1.140625" style="165" customWidth="1"/>
    <col min="2596" max="2596" width="9.140625" style="165"/>
    <col min="2597" max="2598" width="19.42578125" style="165" customWidth="1"/>
    <col min="2599" max="2599" width="9.140625" style="165"/>
    <col min="2600" max="2600" width="12.7109375" style="165" bestFit="1" customWidth="1"/>
    <col min="2601" max="2601" width="9.140625" style="165"/>
    <col min="2602" max="2602" width="11.7109375" style="165" bestFit="1" customWidth="1"/>
    <col min="2603" max="2603" width="10.7109375" style="165" bestFit="1" customWidth="1"/>
    <col min="2604" max="2812" width="9.140625" style="165"/>
    <col min="2813" max="2813" width="1.5703125" style="165" customWidth="1"/>
    <col min="2814" max="2814" width="1.85546875" style="165" customWidth="1"/>
    <col min="2815" max="2815" width="24.28515625" style="165" customWidth="1"/>
    <col min="2816" max="2834" width="0" style="165" hidden="1" customWidth="1"/>
    <col min="2835" max="2835" width="14.5703125" style="165" customWidth="1"/>
    <col min="2836" max="2836" width="1.140625" style="165" customWidth="1"/>
    <col min="2837" max="2839" width="0" style="165" hidden="1" customWidth="1"/>
    <col min="2840" max="2840" width="13.28515625" style="165" customWidth="1"/>
    <col min="2841" max="2841" width="8.28515625" style="165" bestFit="1" customWidth="1"/>
    <col min="2842" max="2842" width="1.28515625" style="165" customWidth="1"/>
    <col min="2843" max="2843" width="0" style="165" hidden="1" customWidth="1"/>
    <col min="2844" max="2844" width="11.85546875" style="165" customWidth="1"/>
    <col min="2845" max="2845" width="7.140625" style="165" bestFit="1" customWidth="1"/>
    <col min="2846" max="2846" width="1.42578125" style="165" customWidth="1"/>
    <col min="2847" max="2847" width="13" style="165" customWidth="1"/>
    <col min="2848" max="2848" width="8.28515625" style="165" bestFit="1" customWidth="1"/>
    <col min="2849" max="2849" width="1.140625" style="165" customWidth="1"/>
    <col min="2850" max="2850" width="15.7109375" style="165" customWidth="1"/>
    <col min="2851" max="2851" width="1.140625" style="165" customWidth="1"/>
    <col min="2852" max="2852" width="9.140625" style="165"/>
    <col min="2853" max="2854" width="19.42578125" style="165" customWidth="1"/>
    <col min="2855" max="2855" width="9.140625" style="165"/>
    <col min="2856" max="2856" width="12.7109375" style="165" bestFit="1" customWidth="1"/>
    <col min="2857" max="2857" width="9.140625" style="165"/>
    <col min="2858" max="2858" width="11.7109375" style="165" bestFit="1" customWidth="1"/>
    <col min="2859" max="2859" width="10.7109375" style="165" bestFit="1" customWidth="1"/>
    <col min="2860" max="3068" width="9.140625" style="165"/>
    <col min="3069" max="3069" width="1.5703125" style="165" customWidth="1"/>
    <col min="3070" max="3070" width="1.85546875" style="165" customWidth="1"/>
    <col min="3071" max="3071" width="24.28515625" style="165" customWidth="1"/>
    <col min="3072" max="3090" width="0" style="165" hidden="1" customWidth="1"/>
    <col min="3091" max="3091" width="14.5703125" style="165" customWidth="1"/>
    <col min="3092" max="3092" width="1.140625" style="165" customWidth="1"/>
    <col min="3093" max="3095" width="0" style="165" hidden="1" customWidth="1"/>
    <col min="3096" max="3096" width="13.28515625" style="165" customWidth="1"/>
    <col min="3097" max="3097" width="8.28515625" style="165" bestFit="1" customWidth="1"/>
    <col min="3098" max="3098" width="1.28515625" style="165" customWidth="1"/>
    <col min="3099" max="3099" width="0" style="165" hidden="1" customWidth="1"/>
    <col min="3100" max="3100" width="11.85546875" style="165" customWidth="1"/>
    <col min="3101" max="3101" width="7.140625" style="165" bestFit="1" customWidth="1"/>
    <col min="3102" max="3102" width="1.42578125" style="165" customWidth="1"/>
    <col min="3103" max="3103" width="13" style="165" customWidth="1"/>
    <col min="3104" max="3104" width="8.28515625" style="165" bestFit="1" customWidth="1"/>
    <col min="3105" max="3105" width="1.140625" style="165" customWidth="1"/>
    <col min="3106" max="3106" width="15.7109375" style="165" customWidth="1"/>
    <col min="3107" max="3107" width="1.140625" style="165" customWidth="1"/>
    <col min="3108" max="3108" width="9.140625" style="165"/>
    <col min="3109" max="3110" width="19.42578125" style="165" customWidth="1"/>
    <col min="3111" max="3111" width="9.140625" style="165"/>
    <col min="3112" max="3112" width="12.7109375" style="165" bestFit="1" customWidth="1"/>
    <col min="3113" max="3113" width="9.140625" style="165"/>
    <col min="3114" max="3114" width="11.7109375" style="165" bestFit="1" customWidth="1"/>
    <col min="3115" max="3115" width="10.7109375" style="165" bestFit="1" customWidth="1"/>
    <col min="3116" max="3324" width="9.140625" style="165"/>
    <col min="3325" max="3325" width="1.5703125" style="165" customWidth="1"/>
    <col min="3326" max="3326" width="1.85546875" style="165" customWidth="1"/>
    <col min="3327" max="3327" width="24.28515625" style="165" customWidth="1"/>
    <col min="3328" max="3346" width="0" style="165" hidden="1" customWidth="1"/>
    <col min="3347" max="3347" width="14.5703125" style="165" customWidth="1"/>
    <col min="3348" max="3348" width="1.140625" style="165" customWidth="1"/>
    <col min="3349" max="3351" width="0" style="165" hidden="1" customWidth="1"/>
    <col min="3352" max="3352" width="13.28515625" style="165" customWidth="1"/>
    <col min="3353" max="3353" width="8.28515625" style="165" bestFit="1" customWidth="1"/>
    <col min="3354" max="3354" width="1.28515625" style="165" customWidth="1"/>
    <col min="3355" max="3355" width="0" style="165" hidden="1" customWidth="1"/>
    <col min="3356" max="3356" width="11.85546875" style="165" customWidth="1"/>
    <col min="3357" max="3357" width="7.140625" style="165" bestFit="1" customWidth="1"/>
    <col min="3358" max="3358" width="1.42578125" style="165" customWidth="1"/>
    <col min="3359" max="3359" width="13" style="165" customWidth="1"/>
    <col min="3360" max="3360" width="8.28515625" style="165" bestFit="1" customWidth="1"/>
    <col min="3361" max="3361" width="1.140625" style="165" customWidth="1"/>
    <col min="3362" max="3362" width="15.7109375" style="165" customWidth="1"/>
    <col min="3363" max="3363" width="1.140625" style="165" customWidth="1"/>
    <col min="3364" max="3364" width="9.140625" style="165"/>
    <col min="3365" max="3366" width="19.42578125" style="165" customWidth="1"/>
    <col min="3367" max="3367" width="9.140625" style="165"/>
    <col min="3368" max="3368" width="12.7109375" style="165" bestFit="1" customWidth="1"/>
    <col min="3369" max="3369" width="9.140625" style="165"/>
    <col min="3370" max="3370" width="11.7109375" style="165" bestFit="1" customWidth="1"/>
    <col min="3371" max="3371" width="10.7109375" style="165" bestFit="1" customWidth="1"/>
    <col min="3372" max="3580" width="9.140625" style="165"/>
    <col min="3581" max="3581" width="1.5703125" style="165" customWidth="1"/>
    <col min="3582" max="3582" width="1.85546875" style="165" customWidth="1"/>
    <col min="3583" max="3583" width="24.28515625" style="165" customWidth="1"/>
    <col min="3584" max="3602" width="0" style="165" hidden="1" customWidth="1"/>
    <col min="3603" max="3603" width="14.5703125" style="165" customWidth="1"/>
    <col min="3604" max="3604" width="1.140625" style="165" customWidth="1"/>
    <col min="3605" max="3607" width="0" style="165" hidden="1" customWidth="1"/>
    <col min="3608" max="3608" width="13.28515625" style="165" customWidth="1"/>
    <col min="3609" max="3609" width="8.28515625" style="165" bestFit="1" customWidth="1"/>
    <col min="3610" max="3610" width="1.28515625" style="165" customWidth="1"/>
    <col min="3611" max="3611" width="0" style="165" hidden="1" customWidth="1"/>
    <col min="3612" max="3612" width="11.85546875" style="165" customWidth="1"/>
    <col min="3613" max="3613" width="7.140625" style="165" bestFit="1" customWidth="1"/>
    <col min="3614" max="3614" width="1.42578125" style="165" customWidth="1"/>
    <col min="3615" max="3615" width="13" style="165" customWidth="1"/>
    <col min="3616" max="3616" width="8.28515625" style="165" bestFit="1" customWidth="1"/>
    <col min="3617" max="3617" width="1.140625" style="165" customWidth="1"/>
    <col min="3618" max="3618" width="15.7109375" style="165" customWidth="1"/>
    <col min="3619" max="3619" width="1.140625" style="165" customWidth="1"/>
    <col min="3620" max="3620" width="9.140625" style="165"/>
    <col min="3621" max="3622" width="19.42578125" style="165" customWidth="1"/>
    <col min="3623" max="3623" width="9.140625" style="165"/>
    <col min="3624" max="3624" width="12.7109375" style="165" bestFit="1" customWidth="1"/>
    <col min="3625" max="3625" width="9.140625" style="165"/>
    <col min="3626" max="3626" width="11.7109375" style="165" bestFit="1" customWidth="1"/>
    <col min="3627" max="3627" width="10.7109375" style="165" bestFit="1" customWidth="1"/>
    <col min="3628" max="3836" width="9.140625" style="165"/>
    <col min="3837" max="3837" width="1.5703125" style="165" customWidth="1"/>
    <col min="3838" max="3838" width="1.85546875" style="165" customWidth="1"/>
    <col min="3839" max="3839" width="24.28515625" style="165" customWidth="1"/>
    <col min="3840" max="3858" width="0" style="165" hidden="1" customWidth="1"/>
    <col min="3859" max="3859" width="14.5703125" style="165" customWidth="1"/>
    <col min="3860" max="3860" width="1.140625" style="165" customWidth="1"/>
    <col min="3861" max="3863" width="0" style="165" hidden="1" customWidth="1"/>
    <col min="3864" max="3864" width="13.28515625" style="165" customWidth="1"/>
    <col min="3865" max="3865" width="8.28515625" style="165" bestFit="1" customWidth="1"/>
    <col min="3866" max="3866" width="1.28515625" style="165" customWidth="1"/>
    <col min="3867" max="3867" width="0" style="165" hidden="1" customWidth="1"/>
    <col min="3868" max="3868" width="11.85546875" style="165" customWidth="1"/>
    <col min="3869" max="3869" width="7.140625" style="165" bestFit="1" customWidth="1"/>
    <col min="3870" max="3870" width="1.42578125" style="165" customWidth="1"/>
    <col min="3871" max="3871" width="13" style="165" customWidth="1"/>
    <col min="3872" max="3872" width="8.28515625" style="165" bestFit="1" customWidth="1"/>
    <col min="3873" max="3873" width="1.140625" style="165" customWidth="1"/>
    <col min="3874" max="3874" width="15.7109375" style="165" customWidth="1"/>
    <col min="3875" max="3875" width="1.140625" style="165" customWidth="1"/>
    <col min="3876" max="3876" width="9.140625" style="165"/>
    <col min="3877" max="3878" width="19.42578125" style="165" customWidth="1"/>
    <col min="3879" max="3879" width="9.140625" style="165"/>
    <col min="3880" max="3880" width="12.7109375" style="165" bestFit="1" customWidth="1"/>
    <col min="3881" max="3881" width="9.140625" style="165"/>
    <col min="3882" max="3882" width="11.7109375" style="165" bestFit="1" customWidth="1"/>
    <col min="3883" max="3883" width="10.7109375" style="165" bestFit="1" customWidth="1"/>
    <col min="3884" max="4092" width="9.140625" style="165"/>
    <col min="4093" max="4093" width="1.5703125" style="165" customWidth="1"/>
    <col min="4094" max="4094" width="1.85546875" style="165" customWidth="1"/>
    <col min="4095" max="4095" width="24.28515625" style="165" customWidth="1"/>
    <col min="4096" max="4114" width="0" style="165" hidden="1" customWidth="1"/>
    <col min="4115" max="4115" width="14.5703125" style="165" customWidth="1"/>
    <col min="4116" max="4116" width="1.140625" style="165" customWidth="1"/>
    <col min="4117" max="4119" width="0" style="165" hidden="1" customWidth="1"/>
    <col min="4120" max="4120" width="13.28515625" style="165" customWidth="1"/>
    <col min="4121" max="4121" width="8.28515625" style="165" bestFit="1" customWidth="1"/>
    <col min="4122" max="4122" width="1.28515625" style="165" customWidth="1"/>
    <col min="4123" max="4123" width="0" style="165" hidden="1" customWidth="1"/>
    <col min="4124" max="4124" width="11.85546875" style="165" customWidth="1"/>
    <col min="4125" max="4125" width="7.140625" style="165" bestFit="1" customWidth="1"/>
    <col min="4126" max="4126" width="1.42578125" style="165" customWidth="1"/>
    <col min="4127" max="4127" width="13" style="165" customWidth="1"/>
    <col min="4128" max="4128" width="8.28515625" style="165" bestFit="1" customWidth="1"/>
    <col min="4129" max="4129" width="1.140625" style="165" customWidth="1"/>
    <col min="4130" max="4130" width="15.7109375" style="165" customWidth="1"/>
    <col min="4131" max="4131" width="1.140625" style="165" customWidth="1"/>
    <col min="4132" max="4132" width="9.140625" style="165"/>
    <col min="4133" max="4134" width="19.42578125" style="165" customWidth="1"/>
    <col min="4135" max="4135" width="9.140625" style="165"/>
    <col min="4136" max="4136" width="12.7109375" style="165" bestFit="1" customWidth="1"/>
    <col min="4137" max="4137" width="9.140625" style="165"/>
    <col min="4138" max="4138" width="11.7109375" style="165" bestFit="1" customWidth="1"/>
    <col min="4139" max="4139" width="10.7109375" style="165" bestFit="1" customWidth="1"/>
    <col min="4140" max="4348" width="9.140625" style="165"/>
    <col min="4349" max="4349" width="1.5703125" style="165" customWidth="1"/>
    <col min="4350" max="4350" width="1.85546875" style="165" customWidth="1"/>
    <col min="4351" max="4351" width="24.28515625" style="165" customWidth="1"/>
    <col min="4352" max="4370" width="0" style="165" hidden="1" customWidth="1"/>
    <col min="4371" max="4371" width="14.5703125" style="165" customWidth="1"/>
    <col min="4372" max="4372" width="1.140625" style="165" customWidth="1"/>
    <col min="4373" max="4375" width="0" style="165" hidden="1" customWidth="1"/>
    <col min="4376" max="4376" width="13.28515625" style="165" customWidth="1"/>
    <col min="4377" max="4377" width="8.28515625" style="165" bestFit="1" customWidth="1"/>
    <col min="4378" max="4378" width="1.28515625" style="165" customWidth="1"/>
    <col min="4379" max="4379" width="0" style="165" hidden="1" customWidth="1"/>
    <col min="4380" max="4380" width="11.85546875" style="165" customWidth="1"/>
    <col min="4381" max="4381" width="7.140625" style="165" bestFit="1" customWidth="1"/>
    <col min="4382" max="4382" width="1.42578125" style="165" customWidth="1"/>
    <col min="4383" max="4383" width="13" style="165" customWidth="1"/>
    <col min="4384" max="4384" width="8.28515625" style="165" bestFit="1" customWidth="1"/>
    <col min="4385" max="4385" width="1.140625" style="165" customWidth="1"/>
    <col min="4386" max="4386" width="15.7109375" style="165" customWidth="1"/>
    <col min="4387" max="4387" width="1.140625" style="165" customWidth="1"/>
    <col min="4388" max="4388" width="9.140625" style="165"/>
    <col min="4389" max="4390" width="19.42578125" style="165" customWidth="1"/>
    <col min="4391" max="4391" width="9.140625" style="165"/>
    <col min="4392" max="4392" width="12.7109375" style="165" bestFit="1" customWidth="1"/>
    <col min="4393" max="4393" width="9.140625" style="165"/>
    <col min="4394" max="4394" width="11.7109375" style="165" bestFit="1" customWidth="1"/>
    <col min="4395" max="4395" width="10.7109375" style="165" bestFit="1" customWidth="1"/>
    <col min="4396" max="4604" width="9.140625" style="165"/>
    <col min="4605" max="4605" width="1.5703125" style="165" customWidth="1"/>
    <col min="4606" max="4606" width="1.85546875" style="165" customWidth="1"/>
    <col min="4607" max="4607" width="24.28515625" style="165" customWidth="1"/>
    <col min="4608" max="4626" width="0" style="165" hidden="1" customWidth="1"/>
    <col min="4627" max="4627" width="14.5703125" style="165" customWidth="1"/>
    <col min="4628" max="4628" width="1.140625" style="165" customWidth="1"/>
    <col min="4629" max="4631" width="0" style="165" hidden="1" customWidth="1"/>
    <col min="4632" max="4632" width="13.28515625" style="165" customWidth="1"/>
    <col min="4633" max="4633" width="8.28515625" style="165" bestFit="1" customWidth="1"/>
    <col min="4634" max="4634" width="1.28515625" style="165" customWidth="1"/>
    <col min="4635" max="4635" width="0" style="165" hidden="1" customWidth="1"/>
    <col min="4636" max="4636" width="11.85546875" style="165" customWidth="1"/>
    <col min="4637" max="4637" width="7.140625" style="165" bestFit="1" customWidth="1"/>
    <col min="4638" max="4638" width="1.42578125" style="165" customWidth="1"/>
    <col min="4639" max="4639" width="13" style="165" customWidth="1"/>
    <col min="4640" max="4640" width="8.28515625" style="165" bestFit="1" customWidth="1"/>
    <col min="4641" max="4641" width="1.140625" style="165" customWidth="1"/>
    <col min="4642" max="4642" width="15.7109375" style="165" customWidth="1"/>
    <col min="4643" max="4643" width="1.140625" style="165" customWidth="1"/>
    <col min="4644" max="4644" width="9.140625" style="165"/>
    <col min="4645" max="4646" width="19.42578125" style="165" customWidth="1"/>
    <col min="4647" max="4647" width="9.140625" style="165"/>
    <col min="4648" max="4648" width="12.7109375" style="165" bestFit="1" customWidth="1"/>
    <col min="4649" max="4649" width="9.140625" style="165"/>
    <col min="4650" max="4650" width="11.7109375" style="165" bestFit="1" customWidth="1"/>
    <col min="4651" max="4651" width="10.7109375" style="165" bestFit="1" customWidth="1"/>
    <col min="4652" max="4860" width="9.140625" style="165"/>
    <col min="4861" max="4861" width="1.5703125" style="165" customWidth="1"/>
    <col min="4862" max="4862" width="1.85546875" style="165" customWidth="1"/>
    <col min="4863" max="4863" width="24.28515625" style="165" customWidth="1"/>
    <col min="4864" max="4882" width="0" style="165" hidden="1" customWidth="1"/>
    <col min="4883" max="4883" width="14.5703125" style="165" customWidth="1"/>
    <col min="4884" max="4884" width="1.140625" style="165" customWidth="1"/>
    <col min="4885" max="4887" width="0" style="165" hidden="1" customWidth="1"/>
    <col min="4888" max="4888" width="13.28515625" style="165" customWidth="1"/>
    <col min="4889" max="4889" width="8.28515625" style="165" bestFit="1" customWidth="1"/>
    <col min="4890" max="4890" width="1.28515625" style="165" customWidth="1"/>
    <col min="4891" max="4891" width="0" style="165" hidden="1" customWidth="1"/>
    <col min="4892" max="4892" width="11.85546875" style="165" customWidth="1"/>
    <col min="4893" max="4893" width="7.140625" style="165" bestFit="1" customWidth="1"/>
    <col min="4894" max="4894" width="1.42578125" style="165" customWidth="1"/>
    <col min="4895" max="4895" width="13" style="165" customWidth="1"/>
    <col min="4896" max="4896" width="8.28515625" style="165" bestFit="1" customWidth="1"/>
    <col min="4897" max="4897" width="1.140625" style="165" customWidth="1"/>
    <col min="4898" max="4898" width="15.7109375" style="165" customWidth="1"/>
    <col min="4899" max="4899" width="1.140625" style="165" customWidth="1"/>
    <col min="4900" max="4900" width="9.140625" style="165"/>
    <col min="4901" max="4902" width="19.42578125" style="165" customWidth="1"/>
    <col min="4903" max="4903" width="9.140625" style="165"/>
    <col min="4904" max="4904" width="12.7109375" style="165" bestFit="1" customWidth="1"/>
    <col min="4905" max="4905" width="9.140625" style="165"/>
    <col min="4906" max="4906" width="11.7109375" style="165" bestFit="1" customWidth="1"/>
    <col min="4907" max="4907" width="10.7109375" style="165" bestFit="1" customWidth="1"/>
    <col min="4908" max="5116" width="9.140625" style="165"/>
    <col min="5117" max="5117" width="1.5703125" style="165" customWidth="1"/>
    <col min="5118" max="5118" width="1.85546875" style="165" customWidth="1"/>
    <col min="5119" max="5119" width="24.28515625" style="165" customWidth="1"/>
    <col min="5120" max="5138" width="0" style="165" hidden="1" customWidth="1"/>
    <col min="5139" max="5139" width="14.5703125" style="165" customWidth="1"/>
    <col min="5140" max="5140" width="1.140625" style="165" customWidth="1"/>
    <col min="5141" max="5143" width="0" style="165" hidden="1" customWidth="1"/>
    <col min="5144" max="5144" width="13.28515625" style="165" customWidth="1"/>
    <col min="5145" max="5145" width="8.28515625" style="165" bestFit="1" customWidth="1"/>
    <col min="5146" max="5146" width="1.28515625" style="165" customWidth="1"/>
    <col min="5147" max="5147" width="0" style="165" hidden="1" customWidth="1"/>
    <col min="5148" max="5148" width="11.85546875" style="165" customWidth="1"/>
    <col min="5149" max="5149" width="7.140625" style="165" bestFit="1" customWidth="1"/>
    <col min="5150" max="5150" width="1.42578125" style="165" customWidth="1"/>
    <col min="5151" max="5151" width="13" style="165" customWidth="1"/>
    <col min="5152" max="5152" width="8.28515625" style="165" bestFit="1" customWidth="1"/>
    <col min="5153" max="5153" width="1.140625" style="165" customWidth="1"/>
    <col min="5154" max="5154" width="15.7109375" style="165" customWidth="1"/>
    <col min="5155" max="5155" width="1.140625" style="165" customWidth="1"/>
    <col min="5156" max="5156" width="9.140625" style="165"/>
    <col min="5157" max="5158" width="19.42578125" style="165" customWidth="1"/>
    <col min="5159" max="5159" width="9.140625" style="165"/>
    <col min="5160" max="5160" width="12.7109375" style="165" bestFit="1" customWidth="1"/>
    <col min="5161" max="5161" width="9.140625" style="165"/>
    <col min="5162" max="5162" width="11.7109375" style="165" bestFit="1" customWidth="1"/>
    <col min="5163" max="5163" width="10.7109375" style="165" bestFit="1" customWidth="1"/>
    <col min="5164" max="5372" width="9.140625" style="165"/>
    <col min="5373" max="5373" width="1.5703125" style="165" customWidth="1"/>
    <col min="5374" max="5374" width="1.85546875" style="165" customWidth="1"/>
    <col min="5375" max="5375" width="24.28515625" style="165" customWidth="1"/>
    <col min="5376" max="5394" width="0" style="165" hidden="1" customWidth="1"/>
    <col min="5395" max="5395" width="14.5703125" style="165" customWidth="1"/>
    <col min="5396" max="5396" width="1.140625" style="165" customWidth="1"/>
    <col min="5397" max="5399" width="0" style="165" hidden="1" customWidth="1"/>
    <col min="5400" max="5400" width="13.28515625" style="165" customWidth="1"/>
    <col min="5401" max="5401" width="8.28515625" style="165" bestFit="1" customWidth="1"/>
    <col min="5402" max="5402" width="1.28515625" style="165" customWidth="1"/>
    <col min="5403" max="5403" width="0" style="165" hidden="1" customWidth="1"/>
    <col min="5404" max="5404" width="11.85546875" style="165" customWidth="1"/>
    <col min="5405" max="5405" width="7.140625" style="165" bestFit="1" customWidth="1"/>
    <col min="5406" max="5406" width="1.42578125" style="165" customWidth="1"/>
    <col min="5407" max="5407" width="13" style="165" customWidth="1"/>
    <col min="5408" max="5408" width="8.28515625" style="165" bestFit="1" customWidth="1"/>
    <col min="5409" max="5409" width="1.140625" style="165" customWidth="1"/>
    <col min="5410" max="5410" width="15.7109375" style="165" customWidth="1"/>
    <col min="5411" max="5411" width="1.140625" style="165" customWidth="1"/>
    <col min="5412" max="5412" width="9.140625" style="165"/>
    <col min="5413" max="5414" width="19.42578125" style="165" customWidth="1"/>
    <col min="5415" max="5415" width="9.140625" style="165"/>
    <col min="5416" max="5416" width="12.7109375" style="165" bestFit="1" customWidth="1"/>
    <col min="5417" max="5417" width="9.140625" style="165"/>
    <col min="5418" max="5418" width="11.7109375" style="165" bestFit="1" customWidth="1"/>
    <col min="5419" max="5419" width="10.7109375" style="165" bestFit="1" customWidth="1"/>
    <col min="5420" max="5628" width="9.140625" style="165"/>
    <col min="5629" max="5629" width="1.5703125" style="165" customWidth="1"/>
    <col min="5630" max="5630" width="1.85546875" style="165" customWidth="1"/>
    <col min="5631" max="5631" width="24.28515625" style="165" customWidth="1"/>
    <col min="5632" max="5650" width="0" style="165" hidden="1" customWidth="1"/>
    <col min="5651" max="5651" width="14.5703125" style="165" customWidth="1"/>
    <col min="5652" max="5652" width="1.140625" style="165" customWidth="1"/>
    <col min="5653" max="5655" width="0" style="165" hidden="1" customWidth="1"/>
    <col min="5656" max="5656" width="13.28515625" style="165" customWidth="1"/>
    <col min="5657" max="5657" width="8.28515625" style="165" bestFit="1" customWidth="1"/>
    <col min="5658" max="5658" width="1.28515625" style="165" customWidth="1"/>
    <col min="5659" max="5659" width="0" style="165" hidden="1" customWidth="1"/>
    <col min="5660" max="5660" width="11.85546875" style="165" customWidth="1"/>
    <col min="5661" max="5661" width="7.140625" style="165" bestFit="1" customWidth="1"/>
    <col min="5662" max="5662" width="1.42578125" style="165" customWidth="1"/>
    <col min="5663" max="5663" width="13" style="165" customWidth="1"/>
    <col min="5664" max="5664" width="8.28515625" style="165" bestFit="1" customWidth="1"/>
    <col min="5665" max="5665" width="1.140625" style="165" customWidth="1"/>
    <col min="5666" max="5666" width="15.7109375" style="165" customWidth="1"/>
    <col min="5667" max="5667" width="1.140625" style="165" customWidth="1"/>
    <col min="5668" max="5668" width="9.140625" style="165"/>
    <col min="5669" max="5670" width="19.42578125" style="165" customWidth="1"/>
    <col min="5671" max="5671" width="9.140625" style="165"/>
    <col min="5672" max="5672" width="12.7109375" style="165" bestFit="1" customWidth="1"/>
    <col min="5673" max="5673" width="9.140625" style="165"/>
    <col min="5674" max="5674" width="11.7109375" style="165" bestFit="1" customWidth="1"/>
    <col min="5675" max="5675" width="10.7109375" style="165" bestFit="1" customWidth="1"/>
    <col min="5676" max="5884" width="9.140625" style="165"/>
    <col min="5885" max="5885" width="1.5703125" style="165" customWidth="1"/>
    <col min="5886" max="5886" width="1.85546875" style="165" customWidth="1"/>
    <col min="5887" max="5887" width="24.28515625" style="165" customWidth="1"/>
    <col min="5888" max="5906" width="0" style="165" hidden="1" customWidth="1"/>
    <col min="5907" max="5907" width="14.5703125" style="165" customWidth="1"/>
    <col min="5908" max="5908" width="1.140625" style="165" customWidth="1"/>
    <col min="5909" max="5911" width="0" style="165" hidden="1" customWidth="1"/>
    <col min="5912" max="5912" width="13.28515625" style="165" customWidth="1"/>
    <col min="5913" max="5913" width="8.28515625" style="165" bestFit="1" customWidth="1"/>
    <col min="5914" max="5914" width="1.28515625" style="165" customWidth="1"/>
    <col min="5915" max="5915" width="0" style="165" hidden="1" customWidth="1"/>
    <col min="5916" max="5916" width="11.85546875" style="165" customWidth="1"/>
    <col min="5917" max="5917" width="7.140625" style="165" bestFit="1" customWidth="1"/>
    <col min="5918" max="5918" width="1.42578125" style="165" customWidth="1"/>
    <col min="5919" max="5919" width="13" style="165" customWidth="1"/>
    <col min="5920" max="5920" width="8.28515625" style="165" bestFit="1" customWidth="1"/>
    <col min="5921" max="5921" width="1.140625" style="165" customWidth="1"/>
    <col min="5922" max="5922" width="15.7109375" style="165" customWidth="1"/>
    <col min="5923" max="5923" width="1.140625" style="165" customWidth="1"/>
    <col min="5924" max="5924" width="9.140625" style="165"/>
    <col min="5925" max="5926" width="19.42578125" style="165" customWidth="1"/>
    <col min="5927" max="5927" width="9.140625" style="165"/>
    <col min="5928" max="5928" width="12.7109375" style="165" bestFit="1" customWidth="1"/>
    <col min="5929" max="5929" width="9.140625" style="165"/>
    <col min="5930" max="5930" width="11.7109375" style="165" bestFit="1" customWidth="1"/>
    <col min="5931" max="5931" width="10.7109375" style="165" bestFit="1" customWidth="1"/>
    <col min="5932" max="6140" width="9.140625" style="165"/>
    <col min="6141" max="6141" width="1.5703125" style="165" customWidth="1"/>
    <col min="6142" max="6142" width="1.85546875" style="165" customWidth="1"/>
    <col min="6143" max="6143" width="24.28515625" style="165" customWidth="1"/>
    <col min="6144" max="6162" width="0" style="165" hidden="1" customWidth="1"/>
    <col min="6163" max="6163" width="14.5703125" style="165" customWidth="1"/>
    <col min="6164" max="6164" width="1.140625" style="165" customWidth="1"/>
    <col min="6165" max="6167" width="0" style="165" hidden="1" customWidth="1"/>
    <col min="6168" max="6168" width="13.28515625" style="165" customWidth="1"/>
    <col min="6169" max="6169" width="8.28515625" style="165" bestFit="1" customWidth="1"/>
    <col min="6170" max="6170" width="1.28515625" style="165" customWidth="1"/>
    <col min="6171" max="6171" width="0" style="165" hidden="1" customWidth="1"/>
    <col min="6172" max="6172" width="11.85546875" style="165" customWidth="1"/>
    <col min="6173" max="6173" width="7.140625" style="165" bestFit="1" customWidth="1"/>
    <col min="6174" max="6174" width="1.42578125" style="165" customWidth="1"/>
    <col min="6175" max="6175" width="13" style="165" customWidth="1"/>
    <col min="6176" max="6176" width="8.28515625" style="165" bestFit="1" customWidth="1"/>
    <col min="6177" max="6177" width="1.140625" style="165" customWidth="1"/>
    <col min="6178" max="6178" width="15.7109375" style="165" customWidth="1"/>
    <col min="6179" max="6179" width="1.140625" style="165" customWidth="1"/>
    <col min="6180" max="6180" width="9.140625" style="165"/>
    <col min="6181" max="6182" width="19.42578125" style="165" customWidth="1"/>
    <col min="6183" max="6183" width="9.140625" style="165"/>
    <col min="6184" max="6184" width="12.7109375" style="165" bestFit="1" customWidth="1"/>
    <col min="6185" max="6185" width="9.140625" style="165"/>
    <col min="6186" max="6186" width="11.7109375" style="165" bestFit="1" customWidth="1"/>
    <col min="6187" max="6187" width="10.7109375" style="165" bestFit="1" customWidth="1"/>
    <col min="6188" max="6396" width="9.140625" style="165"/>
    <col min="6397" max="6397" width="1.5703125" style="165" customWidth="1"/>
    <col min="6398" max="6398" width="1.85546875" style="165" customWidth="1"/>
    <col min="6399" max="6399" width="24.28515625" style="165" customWidth="1"/>
    <col min="6400" max="6418" width="0" style="165" hidden="1" customWidth="1"/>
    <col min="6419" max="6419" width="14.5703125" style="165" customWidth="1"/>
    <col min="6420" max="6420" width="1.140625" style="165" customWidth="1"/>
    <col min="6421" max="6423" width="0" style="165" hidden="1" customWidth="1"/>
    <col min="6424" max="6424" width="13.28515625" style="165" customWidth="1"/>
    <col min="6425" max="6425" width="8.28515625" style="165" bestFit="1" customWidth="1"/>
    <col min="6426" max="6426" width="1.28515625" style="165" customWidth="1"/>
    <col min="6427" max="6427" width="0" style="165" hidden="1" customWidth="1"/>
    <col min="6428" max="6428" width="11.85546875" style="165" customWidth="1"/>
    <col min="6429" max="6429" width="7.140625" style="165" bestFit="1" customWidth="1"/>
    <col min="6430" max="6430" width="1.42578125" style="165" customWidth="1"/>
    <col min="6431" max="6431" width="13" style="165" customWidth="1"/>
    <col min="6432" max="6432" width="8.28515625" style="165" bestFit="1" customWidth="1"/>
    <col min="6433" max="6433" width="1.140625" style="165" customWidth="1"/>
    <col min="6434" max="6434" width="15.7109375" style="165" customWidth="1"/>
    <col min="6435" max="6435" width="1.140625" style="165" customWidth="1"/>
    <col min="6436" max="6436" width="9.140625" style="165"/>
    <col min="6437" max="6438" width="19.42578125" style="165" customWidth="1"/>
    <col min="6439" max="6439" width="9.140625" style="165"/>
    <col min="6440" max="6440" width="12.7109375" style="165" bestFit="1" customWidth="1"/>
    <col min="6441" max="6441" width="9.140625" style="165"/>
    <col min="6442" max="6442" width="11.7109375" style="165" bestFit="1" customWidth="1"/>
    <col min="6443" max="6443" width="10.7109375" style="165" bestFit="1" customWidth="1"/>
    <col min="6444" max="6652" width="9.140625" style="165"/>
    <col min="6653" max="6653" width="1.5703125" style="165" customWidth="1"/>
    <col min="6654" max="6654" width="1.85546875" style="165" customWidth="1"/>
    <col min="6655" max="6655" width="24.28515625" style="165" customWidth="1"/>
    <col min="6656" max="6674" width="0" style="165" hidden="1" customWidth="1"/>
    <col min="6675" max="6675" width="14.5703125" style="165" customWidth="1"/>
    <col min="6676" max="6676" width="1.140625" style="165" customWidth="1"/>
    <col min="6677" max="6679" width="0" style="165" hidden="1" customWidth="1"/>
    <col min="6680" max="6680" width="13.28515625" style="165" customWidth="1"/>
    <col min="6681" max="6681" width="8.28515625" style="165" bestFit="1" customWidth="1"/>
    <col min="6682" max="6682" width="1.28515625" style="165" customWidth="1"/>
    <col min="6683" max="6683" width="0" style="165" hidden="1" customWidth="1"/>
    <col min="6684" max="6684" width="11.85546875" style="165" customWidth="1"/>
    <col min="6685" max="6685" width="7.140625" style="165" bestFit="1" customWidth="1"/>
    <col min="6686" max="6686" width="1.42578125" style="165" customWidth="1"/>
    <col min="6687" max="6687" width="13" style="165" customWidth="1"/>
    <col min="6688" max="6688" width="8.28515625" style="165" bestFit="1" customWidth="1"/>
    <col min="6689" max="6689" width="1.140625" style="165" customWidth="1"/>
    <col min="6690" max="6690" width="15.7109375" style="165" customWidth="1"/>
    <col min="6691" max="6691" width="1.140625" style="165" customWidth="1"/>
    <col min="6692" max="6692" width="9.140625" style="165"/>
    <col min="6693" max="6694" width="19.42578125" style="165" customWidth="1"/>
    <col min="6695" max="6695" width="9.140625" style="165"/>
    <col min="6696" max="6696" width="12.7109375" style="165" bestFit="1" customWidth="1"/>
    <col min="6697" max="6697" width="9.140625" style="165"/>
    <col min="6698" max="6698" width="11.7109375" style="165" bestFit="1" customWidth="1"/>
    <col min="6699" max="6699" width="10.7109375" style="165" bestFit="1" customWidth="1"/>
    <col min="6700" max="6908" width="9.140625" style="165"/>
    <col min="6909" max="6909" width="1.5703125" style="165" customWidth="1"/>
    <col min="6910" max="6910" width="1.85546875" style="165" customWidth="1"/>
    <col min="6911" max="6911" width="24.28515625" style="165" customWidth="1"/>
    <col min="6912" max="6930" width="0" style="165" hidden="1" customWidth="1"/>
    <col min="6931" max="6931" width="14.5703125" style="165" customWidth="1"/>
    <col min="6932" max="6932" width="1.140625" style="165" customWidth="1"/>
    <col min="6933" max="6935" width="0" style="165" hidden="1" customWidth="1"/>
    <col min="6936" max="6936" width="13.28515625" style="165" customWidth="1"/>
    <col min="6937" max="6937" width="8.28515625" style="165" bestFit="1" customWidth="1"/>
    <col min="6938" max="6938" width="1.28515625" style="165" customWidth="1"/>
    <col min="6939" max="6939" width="0" style="165" hidden="1" customWidth="1"/>
    <col min="6940" max="6940" width="11.85546875" style="165" customWidth="1"/>
    <col min="6941" max="6941" width="7.140625" style="165" bestFit="1" customWidth="1"/>
    <col min="6942" max="6942" width="1.42578125" style="165" customWidth="1"/>
    <col min="6943" max="6943" width="13" style="165" customWidth="1"/>
    <col min="6944" max="6944" width="8.28515625" style="165" bestFit="1" customWidth="1"/>
    <col min="6945" max="6945" width="1.140625" style="165" customWidth="1"/>
    <col min="6946" max="6946" width="15.7109375" style="165" customWidth="1"/>
    <col min="6947" max="6947" width="1.140625" style="165" customWidth="1"/>
    <col min="6948" max="6948" width="9.140625" style="165"/>
    <col min="6949" max="6950" width="19.42578125" style="165" customWidth="1"/>
    <col min="6951" max="6951" width="9.140625" style="165"/>
    <col min="6952" max="6952" width="12.7109375" style="165" bestFit="1" customWidth="1"/>
    <col min="6953" max="6953" width="9.140625" style="165"/>
    <col min="6954" max="6954" width="11.7109375" style="165" bestFit="1" customWidth="1"/>
    <col min="6955" max="6955" width="10.7109375" style="165" bestFit="1" customWidth="1"/>
    <col min="6956" max="7164" width="9.140625" style="165"/>
    <col min="7165" max="7165" width="1.5703125" style="165" customWidth="1"/>
    <col min="7166" max="7166" width="1.85546875" style="165" customWidth="1"/>
    <col min="7167" max="7167" width="24.28515625" style="165" customWidth="1"/>
    <col min="7168" max="7186" width="0" style="165" hidden="1" customWidth="1"/>
    <col min="7187" max="7187" width="14.5703125" style="165" customWidth="1"/>
    <col min="7188" max="7188" width="1.140625" style="165" customWidth="1"/>
    <col min="7189" max="7191" width="0" style="165" hidden="1" customWidth="1"/>
    <col min="7192" max="7192" width="13.28515625" style="165" customWidth="1"/>
    <col min="7193" max="7193" width="8.28515625" style="165" bestFit="1" customWidth="1"/>
    <col min="7194" max="7194" width="1.28515625" style="165" customWidth="1"/>
    <col min="7195" max="7195" width="0" style="165" hidden="1" customWidth="1"/>
    <col min="7196" max="7196" width="11.85546875" style="165" customWidth="1"/>
    <col min="7197" max="7197" width="7.140625" style="165" bestFit="1" customWidth="1"/>
    <col min="7198" max="7198" width="1.42578125" style="165" customWidth="1"/>
    <col min="7199" max="7199" width="13" style="165" customWidth="1"/>
    <col min="7200" max="7200" width="8.28515625" style="165" bestFit="1" customWidth="1"/>
    <col min="7201" max="7201" width="1.140625" style="165" customWidth="1"/>
    <col min="7202" max="7202" width="15.7109375" style="165" customWidth="1"/>
    <col min="7203" max="7203" width="1.140625" style="165" customWidth="1"/>
    <col min="7204" max="7204" width="9.140625" style="165"/>
    <col min="7205" max="7206" width="19.42578125" style="165" customWidth="1"/>
    <col min="7207" max="7207" width="9.140625" style="165"/>
    <col min="7208" max="7208" width="12.7109375" style="165" bestFit="1" customWidth="1"/>
    <col min="7209" max="7209" width="9.140625" style="165"/>
    <col min="7210" max="7210" width="11.7109375" style="165" bestFit="1" customWidth="1"/>
    <col min="7211" max="7211" width="10.7109375" style="165" bestFit="1" customWidth="1"/>
    <col min="7212" max="7420" width="9.140625" style="165"/>
    <col min="7421" max="7421" width="1.5703125" style="165" customWidth="1"/>
    <col min="7422" max="7422" width="1.85546875" style="165" customWidth="1"/>
    <col min="7423" max="7423" width="24.28515625" style="165" customWidth="1"/>
    <col min="7424" max="7442" width="0" style="165" hidden="1" customWidth="1"/>
    <col min="7443" max="7443" width="14.5703125" style="165" customWidth="1"/>
    <col min="7444" max="7444" width="1.140625" style="165" customWidth="1"/>
    <col min="7445" max="7447" width="0" style="165" hidden="1" customWidth="1"/>
    <col min="7448" max="7448" width="13.28515625" style="165" customWidth="1"/>
    <col min="7449" max="7449" width="8.28515625" style="165" bestFit="1" customWidth="1"/>
    <col min="7450" max="7450" width="1.28515625" style="165" customWidth="1"/>
    <col min="7451" max="7451" width="0" style="165" hidden="1" customWidth="1"/>
    <col min="7452" max="7452" width="11.85546875" style="165" customWidth="1"/>
    <col min="7453" max="7453" width="7.140625" style="165" bestFit="1" customWidth="1"/>
    <col min="7454" max="7454" width="1.42578125" style="165" customWidth="1"/>
    <col min="7455" max="7455" width="13" style="165" customWidth="1"/>
    <col min="7456" max="7456" width="8.28515625" style="165" bestFit="1" customWidth="1"/>
    <col min="7457" max="7457" width="1.140625" style="165" customWidth="1"/>
    <col min="7458" max="7458" width="15.7109375" style="165" customWidth="1"/>
    <col min="7459" max="7459" width="1.140625" style="165" customWidth="1"/>
    <col min="7460" max="7460" width="9.140625" style="165"/>
    <col min="7461" max="7462" width="19.42578125" style="165" customWidth="1"/>
    <col min="7463" max="7463" width="9.140625" style="165"/>
    <col min="7464" max="7464" width="12.7109375" style="165" bestFit="1" customWidth="1"/>
    <col min="7465" max="7465" width="9.140625" style="165"/>
    <col min="7466" max="7466" width="11.7109375" style="165" bestFit="1" customWidth="1"/>
    <col min="7467" max="7467" width="10.7109375" style="165" bestFit="1" customWidth="1"/>
    <col min="7468" max="7676" width="9.140625" style="165"/>
    <col min="7677" max="7677" width="1.5703125" style="165" customWidth="1"/>
    <col min="7678" max="7678" width="1.85546875" style="165" customWidth="1"/>
    <col min="7679" max="7679" width="24.28515625" style="165" customWidth="1"/>
    <col min="7680" max="7698" width="0" style="165" hidden="1" customWidth="1"/>
    <col min="7699" max="7699" width="14.5703125" style="165" customWidth="1"/>
    <col min="7700" max="7700" width="1.140625" style="165" customWidth="1"/>
    <col min="7701" max="7703" width="0" style="165" hidden="1" customWidth="1"/>
    <col min="7704" max="7704" width="13.28515625" style="165" customWidth="1"/>
    <col min="7705" max="7705" width="8.28515625" style="165" bestFit="1" customWidth="1"/>
    <col min="7706" max="7706" width="1.28515625" style="165" customWidth="1"/>
    <col min="7707" max="7707" width="0" style="165" hidden="1" customWidth="1"/>
    <col min="7708" max="7708" width="11.85546875" style="165" customWidth="1"/>
    <col min="7709" max="7709" width="7.140625" style="165" bestFit="1" customWidth="1"/>
    <col min="7710" max="7710" width="1.42578125" style="165" customWidth="1"/>
    <col min="7711" max="7711" width="13" style="165" customWidth="1"/>
    <col min="7712" max="7712" width="8.28515625" style="165" bestFit="1" customWidth="1"/>
    <col min="7713" max="7713" width="1.140625" style="165" customWidth="1"/>
    <col min="7714" max="7714" width="15.7109375" style="165" customWidth="1"/>
    <col min="7715" max="7715" width="1.140625" style="165" customWidth="1"/>
    <col min="7716" max="7716" width="9.140625" style="165"/>
    <col min="7717" max="7718" width="19.42578125" style="165" customWidth="1"/>
    <col min="7719" max="7719" width="9.140625" style="165"/>
    <col min="7720" max="7720" width="12.7109375" style="165" bestFit="1" customWidth="1"/>
    <col min="7721" max="7721" width="9.140625" style="165"/>
    <col min="7722" max="7722" width="11.7109375" style="165" bestFit="1" customWidth="1"/>
    <col min="7723" max="7723" width="10.7109375" style="165" bestFit="1" customWidth="1"/>
    <col min="7724" max="7932" width="9.140625" style="165"/>
    <col min="7933" max="7933" width="1.5703125" style="165" customWidth="1"/>
    <col min="7934" max="7934" width="1.85546875" style="165" customWidth="1"/>
    <col min="7935" max="7935" width="24.28515625" style="165" customWidth="1"/>
    <col min="7936" max="7954" width="0" style="165" hidden="1" customWidth="1"/>
    <col min="7955" max="7955" width="14.5703125" style="165" customWidth="1"/>
    <col min="7956" max="7956" width="1.140625" style="165" customWidth="1"/>
    <col min="7957" max="7959" width="0" style="165" hidden="1" customWidth="1"/>
    <col min="7960" max="7960" width="13.28515625" style="165" customWidth="1"/>
    <col min="7961" max="7961" width="8.28515625" style="165" bestFit="1" customWidth="1"/>
    <col min="7962" max="7962" width="1.28515625" style="165" customWidth="1"/>
    <col min="7963" max="7963" width="0" style="165" hidden="1" customWidth="1"/>
    <col min="7964" max="7964" width="11.85546875" style="165" customWidth="1"/>
    <col min="7965" max="7965" width="7.140625" style="165" bestFit="1" customWidth="1"/>
    <col min="7966" max="7966" width="1.42578125" style="165" customWidth="1"/>
    <col min="7967" max="7967" width="13" style="165" customWidth="1"/>
    <col min="7968" max="7968" width="8.28515625" style="165" bestFit="1" customWidth="1"/>
    <col min="7969" max="7969" width="1.140625" style="165" customWidth="1"/>
    <col min="7970" max="7970" width="15.7109375" style="165" customWidth="1"/>
    <col min="7971" max="7971" width="1.140625" style="165" customWidth="1"/>
    <col min="7972" max="7972" width="9.140625" style="165"/>
    <col min="7973" max="7974" width="19.42578125" style="165" customWidth="1"/>
    <col min="7975" max="7975" width="9.140625" style="165"/>
    <col min="7976" max="7976" width="12.7109375" style="165" bestFit="1" customWidth="1"/>
    <col min="7977" max="7977" width="9.140625" style="165"/>
    <col min="7978" max="7978" width="11.7109375" style="165" bestFit="1" customWidth="1"/>
    <col min="7979" max="7979" width="10.7109375" style="165" bestFit="1" customWidth="1"/>
    <col min="7980" max="8188" width="9.140625" style="165"/>
    <col min="8189" max="8189" width="1.5703125" style="165" customWidth="1"/>
    <col min="8190" max="8190" width="1.85546875" style="165" customWidth="1"/>
    <col min="8191" max="8191" width="24.28515625" style="165" customWidth="1"/>
    <col min="8192" max="8210" width="0" style="165" hidden="1" customWidth="1"/>
    <col min="8211" max="8211" width="14.5703125" style="165" customWidth="1"/>
    <col min="8212" max="8212" width="1.140625" style="165" customWidth="1"/>
    <col min="8213" max="8215" width="0" style="165" hidden="1" customWidth="1"/>
    <col min="8216" max="8216" width="13.28515625" style="165" customWidth="1"/>
    <col min="8217" max="8217" width="8.28515625" style="165" bestFit="1" customWidth="1"/>
    <col min="8218" max="8218" width="1.28515625" style="165" customWidth="1"/>
    <col min="8219" max="8219" width="0" style="165" hidden="1" customWidth="1"/>
    <col min="8220" max="8220" width="11.85546875" style="165" customWidth="1"/>
    <col min="8221" max="8221" width="7.140625" style="165" bestFit="1" customWidth="1"/>
    <col min="8222" max="8222" width="1.42578125" style="165" customWidth="1"/>
    <col min="8223" max="8223" width="13" style="165" customWidth="1"/>
    <col min="8224" max="8224" width="8.28515625" style="165" bestFit="1" customWidth="1"/>
    <col min="8225" max="8225" width="1.140625" style="165" customWidth="1"/>
    <col min="8226" max="8226" width="15.7109375" style="165" customWidth="1"/>
    <col min="8227" max="8227" width="1.140625" style="165" customWidth="1"/>
    <col min="8228" max="8228" width="9.140625" style="165"/>
    <col min="8229" max="8230" width="19.42578125" style="165" customWidth="1"/>
    <col min="8231" max="8231" width="9.140625" style="165"/>
    <col min="8232" max="8232" width="12.7109375" style="165" bestFit="1" customWidth="1"/>
    <col min="8233" max="8233" width="9.140625" style="165"/>
    <col min="8234" max="8234" width="11.7109375" style="165" bestFit="1" customWidth="1"/>
    <col min="8235" max="8235" width="10.7109375" style="165" bestFit="1" customWidth="1"/>
    <col min="8236" max="8444" width="9.140625" style="165"/>
    <col min="8445" max="8445" width="1.5703125" style="165" customWidth="1"/>
    <col min="8446" max="8446" width="1.85546875" style="165" customWidth="1"/>
    <col min="8447" max="8447" width="24.28515625" style="165" customWidth="1"/>
    <col min="8448" max="8466" width="0" style="165" hidden="1" customWidth="1"/>
    <col min="8467" max="8467" width="14.5703125" style="165" customWidth="1"/>
    <col min="8468" max="8468" width="1.140625" style="165" customWidth="1"/>
    <col min="8469" max="8471" width="0" style="165" hidden="1" customWidth="1"/>
    <col min="8472" max="8472" width="13.28515625" style="165" customWidth="1"/>
    <col min="8473" max="8473" width="8.28515625" style="165" bestFit="1" customWidth="1"/>
    <col min="8474" max="8474" width="1.28515625" style="165" customWidth="1"/>
    <col min="8475" max="8475" width="0" style="165" hidden="1" customWidth="1"/>
    <col min="8476" max="8476" width="11.85546875" style="165" customWidth="1"/>
    <col min="8477" max="8477" width="7.140625" style="165" bestFit="1" customWidth="1"/>
    <col min="8478" max="8478" width="1.42578125" style="165" customWidth="1"/>
    <col min="8479" max="8479" width="13" style="165" customWidth="1"/>
    <col min="8480" max="8480" width="8.28515625" style="165" bestFit="1" customWidth="1"/>
    <col min="8481" max="8481" width="1.140625" style="165" customWidth="1"/>
    <col min="8482" max="8482" width="15.7109375" style="165" customWidth="1"/>
    <col min="8483" max="8483" width="1.140625" style="165" customWidth="1"/>
    <col min="8484" max="8484" width="9.140625" style="165"/>
    <col min="8485" max="8486" width="19.42578125" style="165" customWidth="1"/>
    <col min="8487" max="8487" width="9.140625" style="165"/>
    <col min="8488" max="8488" width="12.7109375" style="165" bestFit="1" customWidth="1"/>
    <col min="8489" max="8489" width="9.140625" style="165"/>
    <col min="8490" max="8490" width="11.7109375" style="165" bestFit="1" customWidth="1"/>
    <col min="8491" max="8491" width="10.7109375" style="165" bestFit="1" customWidth="1"/>
    <col min="8492" max="8700" width="9.140625" style="165"/>
    <col min="8701" max="8701" width="1.5703125" style="165" customWidth="1"/>
    <col min="8702" max="8702" width="1.85546875" style="165" customWidth="1"/>
    <col min="8703" max="8703" width="24.28515625" style="165" customWidth="1"/>
    <col min="8704" max="8722" width="0" style="165" hidden="1" customWidth="1"/>
    <col min="8723" max="8723" width="14.5703125" style="165" customWidth="1"/>
    <col min="8724" max="8724" width="1.140625" style="165" customWidth="1"/>
    <col min="8725" max="8727" width="0" style="165" hidden="1" customWidth="1"/>
    <col min="8728" max="8728" width="13.28515625" style="165" customWidth="1"/>
    <col min="8729" max="8729" width="8.28515625" style="165" bestFit="1" customWidth="1"/>
    <col min="8730" max="8730" width="1.28515625" style="165" customWidth="1"/>
    <col min="8731" max="8731" width="0" style="165" hidden="1" customWidth="1"/>
    <col min="8732" max="8732" width="11.85546875" style="165" customWidth="1"/>
    <col min="8733" max="8733" width="7.140625" style="165" bestFit="1" customWidth="1"/>
    <col min="8734" max="8734" width="1.42578125" style="165" customWidth="1"/>
    <col min="8735" max="8735" width="13" style="165" customWidth="1"/>
    <col min="8736" max="8736" width="8.28515625" style="165" bestFit="1" customWidth="1"/>
    <col min="8737" max="8737" width="1.140625" style="165" customWidth="1"/>
    <col min="8738" max="8738" width="15.7109375" style="165" customWidth="1"/>
    <col min="8739" max="8739" width="1.140625" style="165" customWidth="1"/>
    <col min="8740" max="8740" width="9.140625" style="165"/>
    <col min="8741" max="8742" width="19.42578125" style="165" customWidth="1"/>
    <col min="8743" max="8743" width="9.140625" style="165"/>
    <col min="8744" max="8744" width="12.7109375" style="165" bestFit="1" customWidth="1"/>
    <col min="8745" max="8745" width="9.140625" style="165"/>
    <col min="8746" max="8746" width="11.7109375" style="165" bestFit="1" customWidth="1"/>
    <col min="8747" max="8747" width="10.7109375" style="165" bestFit="1" customWidth="1"/>
    <col min="8748" max="8956" width="9.140625" style="165"/>
    <col min="8957" max="8957" width="1.5703125" style="165" customWidth="1"/>
    <col min="8958" max="8958" width="1.85546875" style="165" customWidth="1"/>
    <col min="8959" max="8959" width="24.28515625" style="165" customWidth="1"/>
    <col min="8960" max="8978" width="0" style="165" hidden="1" customWidth="1"/>
    <col min="8979" max="8979" width="14.5703125" style="165" customWidth="1"/>
    <col min="8980" max="8980" width="1.140625" style="165" customWidth="1"/>
    <col min="8981" max="8983" width="0" style="165" hidden="1" customWidth="1"/>
    <col min="8984" max="8984" width="13.28515625" style="165" customWidth="1"/>
    <col min="8985" max="8985" width="8.28515625" style="165" bestFit="1" customWidth="1"/>
    <col min="8986" max="8986" width="1.28515625" style="165" customWidth="1"/>
    <col min="8987" max="8987" width="0" style="165" hidden="1" customWidth="1"/>
    <col min="8988" max="8988" width="11.85546875" style="165" customWidth="1"/>
    <col min="8989" max="8989" width="7.140625" style="165" bestFit="1" customWidth="1"/>
    <col min="8990" max="8990" width="1.42578125" style="165" customWidth="1"/>
    <col min="8991" max="8991" width="13" style="165" customWidth="1"/>
    <col min="8992" max="8992" width="8.28515625" style="165" bestFit="1" customWidth="1"/>
    <col min="8993" max="8993" width="1.140625" style="165" customWidth="1"/>
    <col min="8994" max="8994" width="15.7109375" style="165" customWidth="1"/>
    <col min="8995" max="8995" width="1.140625" style="165" customWidth="1"/>
    <col min="8996" max="8996" width="9.140625" style="165"/>
    <col min="8997" max="8998" width="19.42578125" style="165" customWidth="1"/>
    <col min="8999" max="8999" width="9.140625" style="165"/>
    <col min="9000" max="9000" width="12.7109375" style="165" bestFit="1" customWidth="1"/>
    <col min="9001" max="9001" width="9.140625" style="165"/>
    <col min="9002" max="9002" width="11.7109375" style="165" bestFit="1" customWidth="1"/>
    <col min="9003" max="9003" width="10.7109375" style="165" bestFit="1" customWidth="1"/>
    <col min="9004" max="9212" width="9.140625" style="165"/>
    <col min="9213" max="9213" width="1.5703125" style="165" customWidth="1"/>
    <col min="9214" max="9214" width="1.85546875" style="165" customWidth="1"/>
    <col min="9215" max="9215" width="24.28515625" style="165" customWidth="1"/>
    <col min="9216" max="9234" width="0" style="165" hidden="1" customWidth="1"/>
    <col min="9235" max="9235" width="14.5703125" style="165" customWidth="1"/>
    <col min="9236" max="9236" width="1.140625" style="165" customWidth="1"/>
    <col min="9237" max="9239" width="0" style="165" hidden="1" customWidth="1"/>
    <col min="9240" max="9240" width="13.28515625" style="165" customWidth="1"/>
    <col min="9241" max="9241" width="8.28515625" style="165" bestFit="1" customWidth="1"/>
    <col min="9242" max="9242" width="1.28515625" style="165" customWidth="1"/>
    <col min="9243" max="9243" width="0" style="165" hidden="1" customWidth="1"/>
    <col min="9244" max="9244" width="11.85546875" style="165" customWidth="1"/>
    <col min="9245" max="9245" width="7.140625" style="165" bestFit="1" customWidth="1"/>
    <col min="9246" max="9246" width="1.42578125" style="165" customWidth="1"/>
    <col min="9247" max="9247" width="13" style="165" customWidth="1"/>
    <col min="9248" max="9248" width="8.28515625" style="165" bestFit="1" customWidth="1"/>
    <col min="9249" max="9249" width="1.140625" style="165" customWidth="1"/>
    <col min="9250" max="9250" width="15.7109375" style="165" customWidth="1"/>
    <col min="9251" max="9251" width="1.140625" style="165" customWidth="1"/>
    <col min="9252" max="9252" width="9.140625" style="165"/>
    <col min="9253" max="9254" width="19.42578125" style="165" customWidth="1"/>
    <col min="9255" max="9255" width="9.140625" style="165"/>
    <col min="9256" max="9256" width="12.7109375" style="165" bestFit="1" customWidth="1"/>
    <col min="9257" max="9257" width="9.140625" style="165"/>
    <col min="9258" max="9258" width="11.7109375" style="165" bestFit="1" customWidth="1"/>
    <col min="9259" max="9259" width="10.7109375" style="165" bestFit="1" customWidth="1"/>
    <col min="9260" max="9468" width="9.140625" style="165"/>
    <col min="9469" max="9469" width="1.5703125" style="165" customWidth="1"/>
    <col min="9470" max="9470" width="1.85546875" style="165" customWidth="1"/>
    <col min="9471" max="9471" width="24.28515625" style="165" customWidth="1"/>
    <col min="9472" max="9490" width="0" style="165" hidden="1" customWidth="1"/>
    <col min="9491" max="9491" width="14.5703125" style="165" customWidth="1"/>
    <col min="9492" max="9492" width="1.140625" style="165" customWidth="1"/>
    <col min="9493" max="9495" width="0" style="165" hidden="1" customWidth="1"/>
    <col min="9496" max="9496" width="13.28515625" style="165" customWidth="1"/>
    <col min="9497" max="9497" width="8.28515625" style="165" bestFit="1" customWidth="1"/>
    <col min="9498" max="9498" width="1.28515625" style="165" customWidth="1"/>
    <col min="9499" max="9499" width="0" style="165" hidden="1" customWidth="1"/>
    <col min="9500" max="9500" width="11.85546875" style="165" customWidth="1"/>
    <col min="9501" max="9501" width="7.140625" style="165" bestFit="1" customWidth="1"/>
    <col min="9502" max="9502" width="1.42578125" style="165" customWidth="1"/>
    <col min="9503" max="9503" width="13" style="165" customWidth="1"/>
    <col min="9504" max="9504" width="8.28515625" style="165" bestFit="1" customWidth="1"/>
    <col min="9505" max="9505" width="1.140625" style="165" customWidth="1"/>
    <col min="9506" max="9506" width="15.7109375" style="165" customWidth="1"/>
    <col min="9507" max="9507" width="1.140625" style="165" customWidth="1"/>
    <col min="9508" max="9508" width="9.140625" style="165"/>
    <col min="9509" max="9510" width="19.42578125" style="165" customWidth="1"/>
    <col min="9511" max="9511" width="9.140625" style="165"/>
    <col min="9512" max="9512" width="12.7109375" style="165" bestFit="1" customWidth="1"/>
    <col min="9513" max="9513" width="9.140625" style="165"/>
    <col min="9514" max="9514" width="11.7109375" style="165" bestFit="1" customWidth="1"/>
    <col min="9515" max="9515" width="10.7109375" style="165" bestFit="1" customWidth="1"/>
    <col min="9516" max="9724" width="9.140625" style="165"/>
    <col min="9725" max="9725" width="1.5703125" style="165" customWidth="1"/>
    <col min="9726" max="9726" width="1.85546875" style="165" customWidth="1"/>
    <col min="9727" max="9727" width="24.28515625" style="165" customWidth="1"/>
    <col min="9728" max="9746" width="0" style="165" hidden="1" customWidth="1"/>
    <col min="9747" max="9747" width="14.5703125" style="165" customWidth="1"/>
    <col min="9748" max="9748" width="1.140625" style="165" customWidth="1"/>
    <col min="9749" max="9751" width="0" style="165" hidden="1" customWidth="1"/>
    <col min="9752" max="9752" width="13.28515625" style="165" customWidth="1"/>
    <col min="9753" max="9753" width="8.28515625" style="165" bestFit="1" customWidth="1"/>
    <col min="9754" max="9754" width="1.28515625" style="165" customWidth="1"/>
    <col min="9755" max="9755" width="0" style="165" hidden="1" customWidth="1"/>
    <col min="9756" max="9756" width="11.85546875" style="165" customWidth="1"/>
    <col min="9757" max="9757" width="7.140625" style="165" bestFit="1" customWidth="1"/>
    <col min="9758" max="9758" width="1.42578125" style="165" customWidth="1"/>
    <col min="9759" max="9759" width="13" style="165" customWidth="1"/>
    <col min="9760" max="9760" width="8.28515625" style="165" bestFit="1" customWidth="1"/>
    <col min="9761" max="9761" width="1.140625" style="165" customWidth="1"/>
    <col min="9762" max="9762" width="15.7109375" style="165" customWidth="1"/>
    <col min="9763" max="9763" width="1.140625" style="165" customWidth="1"/>
    <col min="9764" max="9764" width="9.140625" style="165"/>
    <col min="9765" max="9766" width="19.42578125" style="165" customWidth="1"/>
    <col min="9767" max="9767" width="9.140625" style="165"/>
    <col min="9768" max="9768" width="12.7109375" style="165" bestFit="1" customWidth="1"/>
    <col min="9769" max="9769" width="9.140625" style="165"/>
    <col min="9770" max="9770" width="11.7109375" style="165" bestFit="1" customWidth="1"/>
    <col min="9771" max="9771" width="10.7109375" style="165" bestFit="1" customWidth="1"/>
    <col min="9772" max="9980" width="9.140625" style="165"/>
    <col min="9981" max="9981" width="1.5703125" style="165" customWidth="1"/>
    <col min="9982" max="9982" width="1.85546875" style="165" customWidth="1"/>
    <col min="9983" max="9983" width="24.28515625" style="165" customWidth="1"/>
    <col min="9984" max="10002" width="0" style="165" hidden="1" customWidth="1"/>
    <col min="10003" max="10003" width="14.5703125" style="165" customWidth="1"/>
    <col min="10004" max="10004" width="1.140625" style="165" customWidth="1"/>
    <col min="10005" max="10007" width="0" style="165" hidden="1" customWidth="1"/>
    <col min="10008" max="10008" width="13.28515625" style="165" customWidth="1"/>
    <col min="10009" max="10009" width="8.28515625" style="165" bestFit="1" customWidth="1"/>
    <col min="10010" max="10010" width="1.28515625" style="165" customWidth="1"/>
    <col min="10011" max="10011" width="0" style="165" hidden="1" customWidth="1"/>
    <col min="10012" max="10012" width="11.85546875" style="165" customWidth="1"/>
    <col min="10013" max="10013" width="7.140625" style="165" bestFit="1" customWidth="1"/>
    <col min="10014" max="10014" width="1.42578125" style="165" customWidth="1"/>
    <col min="10015" max="10015" width="13" style="165" customWidth="1"/>
    <col min="10016" max="10016" width="8.28515625" style="165" bestFit="1" customWidth="1"/>
    <col min="10017" max="10017" width="1.140625" style="165" customWidth="1"/>
    <col min="10018" max="10018" width="15.7109375" style="165" customWidth="1"/>
    <col min="10019" max="10019" width="1.140625" style="165" customWidth="1"/>
    <col min="10020" max="10020" width="9.140625" style="165"/>
    <col min="10021" max="10022" width="19.42578125" style="165" customWidth="1"/>
    <col min="10023" max="10023" width="9.140625" style="165"/>
    <col min="10024" max="10024" width="12.7109375" style="165" bestFit="1" customWidth="1"/>
    <col min="10025" max="10025" width="9.140625" style="165"/>
    <col min="10026" max="10026" width="11.7109375" style="165" bestFit="1" customWidth="1"/>
    <col min="10027" max="10027" width="10.7109375" style="165" bestFit="1" customWidth="1"/>
    <col min="10028" max="10236" width="9.140625" style="165"/>
    <col min="10237" max="10237" width="1.5703125" style="165" customWidth="1"/>
    <col min="10238" max="10238" width="1.85546875" style="165" customWidth="1"/>
    <col min="10239" max="10239" width="24.28515625" style="165" customWidth="1"/>
    <col min="10240" max="10258" width="0" style="165" hidden="1" customWidth="1"/>
    <col min="10259" max="10259" width="14.5703125" style="165" customWidth="1"/>
    <col min="10260" max="10260" width="1.140625" style="165" customWidth="1"/>
    <col min="10261" max="10263" width="0" style="165" hidden="1" customWidth="1"/>
    <col min="10264" max="10264" width="13.28515625" style="165" customWidth="1"/>
    <col min="10265" max="10265" width="8.28515625" style="165" bestFit="1" customWidth="1"/>
    <col min="10266" max="10266" width="1.28515625" style="165" customWidth="1"/>
    <col min="10267" max="10267" width="0" style="165" hidden="1" customWidth="1"/>
    <col min="10268" max="10268" width="11.85546875" style="165" customWidth="1"/>
    <col min="10269" max="10269" width="7.140625" style="165" bestFit="1" customWidth="1"/>
    <col min="10270" max="10270" width="1.42578125" style="165" customWidth="1"/>
    <col min="10271" max="10271" width="13" style="165" customWidth="1"/>
    <col min="10272" max="10272" width="8.28515625" style="165" bestFit="1" customWidth="1"/>
    <col min="10273" max="10273" width="1.140625" style="165" customWidth="1"/>
    <col min="10274" max="10274" width="15.7109375" style="165" customWidth="1"/>
    <col min="10275" max="10275" width="1.140625" style="165" customWidth="1"/>
    <col min="10276" max="10276" width="9.140625" style="165"/>
    <col min="10277" max="10278" width="19.42578125" style="165" customWidth="1"/>
    <col min="10279" max="10279" width="9.140625" style="165"/>
    <col min="10280" max="10280" width="12.7109375" style="165" bestFit="1" customWidth="1"/>
    <col min="10281" max="10281" width="9.140625" style="165"/>
    <col min="10282" max="10282" width="11.7109375" style="165" bestFit="1" customWidth="1"/>
    <col min="10283" max="10283" width="10.7109375" style="165" bestFit="1" customWidth="1"/>
    <col min="10284" max="10492" width="9.140625" style="165"/>
    <col min="10493" max="10493" width="1.5703125" style="165" customWidth="1"/>
    <col min="10494" max="10494" width="1.85546875" style="165" customWidth="1"/>
    <col min="10495" max="10495" width="24.28515625" style="165" customWidth="1"/>
    <col min="10496" max="10514" width="0" style="165" hidden="1" customWidth="1"/>
    <col min="10515" max="10515" width="14.5703125" style="165" customWidth="1"/>
    <col min="10516" max="10516" width="1.140625" style="165" customWidth="1"/>
    <col min="10517" max="10519" width="0" style="165" hidden="1" customWidth="1"/>
    <col min="10520" max="10520" width="13.28515625" style="165" customWidth="1"/>
    <col min="10521" max="10521" width="8.28515625" style="165" bestFit="1" customWidth="1"/>
    <col min="10522" max="10522" width="1.28515625" style="165" customWidth="1"/>
    <col min="10523" max="10523" width="0" style="165" hidden="1" customWidth="1"/>
    <col min="10524" max="10524" width="11.85546875" style="165" customWidth="1"/>
    <col min="10525" max="10525" width="7.140625" style="165" bestFit="1" customWidth="1"/>
    <col min="10526" max="10526" width="1.42578125" style="165" customWidth="1"/>
    <col min="10527" max="10527" width="13" style="165" customWidth="1"/>
    <col min="10528" max="10528" width="8.28515625" style="165" bestFit="1" customWidth="1"/>
    <col min="10529" max="10529" width="1.140625" style="165" customWidth="1"/>
    <col min="10530" max="10530" width="15.7109375" style="165" customWidth="1"/>
    <col min="10531" max="10531" width="1.140625" style="165" customWidth="1"/>
    <col min="10532" max="10532" width="9.140625" style="165"/>
    <col min="10533" max="10534" width="19.42578125" style="165" customWidth="1"/>
    <col min="10535" max="10535" width="9.140625" style="165"/>
    <col min="10536" max="10536" width="12.7109375" style="165" bestFit="1" customWidth="1"/>
    <col min="10537" max="10537" width="9.140625" style="165"/>
    <col min="10538" max="10538" width="11.7109375" style="165" bestFit="1" customWidth="1"/>
    <col min="10539" max="10539" width="10.7109375" style="165" bestFit="1" customWidth="1"/>
    <col min="10540" max="10748" width="9.140625" style="165"/>
    <col min="10749" max="10749" width="1.5703125" style="165" customWidth="1"/>
    <col min="10750" max="10750" width="1.85546875" style="165" customWidth="1"/>
    <col min="10751" max="10751" width="24.28515625" style="165" customWidth="1"/>
    <col min="10752" max="10770" width="0" style="165" hidden="1" customWidth="1"/>
    <col min="10771" max="10771" width="14.5703125" style="165" customWidth="1"/>
    <col min="10772" max="10772" width="1.140625" style="165" customWidth="1"/>
    <col min="10773" max="10775" width="0" style="165" hidden="1" customWidth="1"/>
    <col min="10776" max="10776" width="13.28515625" style="165" customWidth="1"/>
    <col min="10777" max="10777" width="8.28515625" style="165" bestFit="1" customWidth="1"/>
    <col min="10778" max="10778" width="1.28515625" style="165" customWidth="1"/>
    <col min="10779" max="10779" width="0" style="165" hidden="1" customWidth="1"/>
    <col min="10780" max="10780" width="11.85546875" style="165" customWidth="1"/>
    <col min="10781" max="10781" width="7.140625" style="165" bestFit="1" customWidth="1"/>
    <col min="10782" max="10782" width="1.42578125" style="165" customWidth="1"/>
    <col min="10783" max="10783" width="13" style="165" customWidth="1"/>
    <col min="10784" max="10784" width="8.28515625" style="165" bestFit="1" customWidth="1"/>
    <col min="10785" max="10785" width="1.140625" style="165" customWidth="1"/>
    <col min="10786" max="10786" width="15.7109375" style="165" customWidth="1"/>
    <col min="10787" max="10787" width="1.140625" style="165" customWidth="1"/>
    <col min="10788" max="10788" width="9.140625" style="165"/>
    <col min="10789" max="10790" width="19.42578125" style="165" customWidth="1"/>
    <col min="10791" max="10791" width="9.140625" style="165"/>
    <col min="10792" max="10792" width="12.7109375" style="165" bestFit="1" customWidth="1"/>
    <col min="10793" max="10793" width="9.140625" style="165"/>
    <col min="10794" max="10794" width="11.7109375" style="165" bestFit="1" customWidth="1"/>
    <col min="10795" max="10795" width="10.7109375" style="165" bestFit="1" customWidth="1"/>
    <col min="10796" max="11004" width="9.140625" style="165"/>
    <col min="11005" max="11005" width="1.5703125" style="165" customWidth="1"/>
    <col min="11006" max="11006" width="1.85546875" style="165" customWidth="1"/>
    <col min="11007" max="11007" width="24.28515625" style="165" customWidth="1"/>
    <col min="11008" max="11026" width="0" style="165" hidden="1" customWidth="1"/>
    <col min="11027" max="11027" width="14.5703125" style="165" customWidth="1"/>
    <col min="11028" max="11028" width="1.140625" style="165" customWidth="1"/>
    <col min="11029" max="11031" width="0" style="165" hidden="1" customWidth="1"/>
    <col min="11032" max="11032" width="13.28515625" style="165" customWidth="1"/>
    <col min="11033" max="11033" width="8.28515625" style="165" bestFit="1" customWidth="1"/>
    <col min="11034" max="11034" width="1.28515625" style="165" customWidth="1"/>
    <col min="11035" max="11035" width="0" style="165" hidden="1" customWidth="1"/>
    <col min="11036" max="11036" width="11.85546875" style="165" customWidth="1"/>
    <col min="11037" max="11037" width="7.140625" style="165" bestFit="1" customWidth="1"/>
    <col min="11038" max="11038" width="1.42578125" style="165" customWidth="1"/>
    <col min="11039" max="11039" width="13" style="165" customWidth="1"/>
    <col min="11040" max="11040" width="8.28515625" style="165" bestFit="1" customWidth="1"/>
    <col min="11041" max="11041" width="1.140625" style="165" customWidth="1"/>
    <col min="11042" max="11042" width="15.7109375" style="165" customWidth="1"/>
    <col min="11043" max="11043" width="1.140625" style="165" customWidth="1"/>
    <col min="11044" max="11044" width="9.140625" style="165"/>
    <col min="11045" max="11046" width="19.42578125" style="165" customWidth="1"/>
    <col min="11047" max="11047" width="9.140625" style="165"/>
    <col min="11048" max="11048" width="12.7109375" style="165" bestFit="1" customWidth="1"/>
    <col min="11049" max="11049" width="9.140625" style="165"/>
    <col min="11050" max="11050" width="11.7109375" style="165" bestFit="1" customWidth="1"/>
    <col min="11051" max="11051" width="10.7109375" style="165" bestFit="1" customWidth="1"/>
    <col min="11052" max="11260" width="9.140625" style="165"/>
    <col min="11261" max="11261" width="1.5703125" style="165" customWidth="1"/>
    <col min="11262" max="11262" width="1.85546875" style="165" customWidth="1"/>
    <col min="11263" max="11263" width="24.28515625" style="165" customWidth="1"/>
    <col min="11264" max="11282" width="0" style="165" hidden="1" customWidth="1"/>
    <col min="11283" max="11283" width="14.5703125" style="165" customWidth="1"/>
    <col min="11284" max="11284" width="1.140625" style="165" customWidth="1"/>
    <col min="11285" max="11287" width="0" style="165" hidden="1" customWidth="1"/>
    <col min="11288" max="11288" width="13.28515625" style="165" customWidth="1"/>
    <col min="11289" max="11289" width="8.28515625" style="165" bestFit="1" customWidth="1"/>
    <col min="11290" max="11290" width="1.28515625" style="165" customWidth="1"/>
    <col min="11291" max="11291" width="0" style="165" hidden="1" customWidth="1"/>
    <col min="11292" max="11292" width="11.85546875" style="165" customWidth="1"/>
    <col min="11293" max="11293" width="7.140625" style="165" bestFit="1" customWidth="1"/>
    <col min="11294" max="11294" width="1.42578125" style="165" customWidth="1"/>
    <col min="11295" max="11295" width="13" style="165" customWidth="1"/>
    <col min="11296" max="11296" width="8.28515625" style="165" bestFit="1" customWidth="1"/>
    <col min="11297" max="11297" width="1.140625" style="165" customWidth="1"/>
    <col min="11298" max="11298" width="15.7109375" style="165" customWidth="1"/>
    <col min="11299" max="11299" width="1.140625" style="165" customWidth="1"/>
    <col min="11300" max="11300" width="9.140625" style="165"/>
    <col min="11301" max="11302" width="19.42578125" style="165" customWidth="1"/>
    <col min="11303" max="11303" width="9.140625" style="165"/>
    <col min="11304" max="11304" width="12.7109375" style="165" bestFit="1" customWidth="1"/>
    <col min="11305" max="11305" width="9.140625" style="165"/>
    <col min="11306" max="11306" width="11.7109375" style="165" bestFit="1" customWidth="1"/>
    <col min="11307" max="11307" width="10.7109375" style="165" bestFit="1" customWidth="1"/>
    <col min="11308" max="11516" width="9.140625" style="165"/>
    <col min="11517" max="11517" width="1.5703125" style="165" customWidth="1"/>
    <col min="11518" max="11518" width="1.85546875" style="165" customWidth="1"/>
    <col min="11519" max="11519" width="24.28515625" style="165" customWidth="1"/>
    <col min="11520" max="11538" width="0" style="165" hidden="1" customWidth="1"/>
    <col min="11539" max="11539" width="14.5703125" style="165" customWidth="1"/>
    <col min="11540" max="11540" width="1.140625" style="165" customWidth="1"/>
    <col min="11541" max="11543" width="0" style="165" hidden="1" customWidth="1"/>
    <col min="11544" max="11544" width="13.28515625" style="165" customWidth="1"/>
    <col min="11545" max="11545" width="8.28515625" style="165" bestFit="1" customWidth="1"/>
    <col min="11546" max="11546" width="1.28515625" style="165" customWidth="1"/>
    <col min="11547" max="11547" width="0" style="165" hidden="1" customWidth="1"/>
    <col min="11548" max="11548" width="11.85546875" style="165" customWidth="1"/>
    <col min="11549" max="11549" width="7.140625" style="165" bestFit="1" customWidth="1"/>
    <col min="11550" max="11550" width="1.42578125" style="165" customWidth="1"/>
    <col min="11551" max="11551" width="13" style="165" customWidth="1"/>
    <col min="11552" max="11552" width="8.28515625" style="165" bestFit="1" customWidth="1"/>
    <col min="11553" max="11553" width="1.140625" style="165" customWidth="1"/>
    <col min="11554" max="11554" width="15.7109375" style="165" customWidth="1"/>
    <col min="11555" max="11555" width="1.140625" style="165" customWidth="1"/>
    <col min="11556" max="11556" width="9.140625" style="165"/>
    <col min="11557" max="11558" width="19.42578125" style="165" customWidth="1"/>
    <col min="11559" max="11559" width="9.140625" style="165"/>
    <col min="11560" max="11560" width="12.7109375" style="165" bestFit="1" customWidth="1"/>
    <col min="11561" max="11561" width="9.140625" style="165"/>
    <col min="11562" max="11562" width="11.7109375" style="165" bestFit="1" customWidth="1"/>
    <col min="11563" max="11563" width="10.7109375" style="165" bestFit="1" customWidth="1"/>
    <col min="11564" max="11772" width="9.140625" style="165"/>
    <col min="11773" max="11773" width="1.5703125" style="165" customWidth="1"/>
    <col min="11774" max="11774" width="1.85546875" style="165" customWidth="1"/>
    <col min="11775" max="11775" width="24.28515625" style="165" customWidth="1"/>
    <col min="11776" max="11794" width="0" style="165" hidden="1" customWidth="1"/>
    <col min="11795" max="11795" width="14.5703125" style="165" customWidth="1"/>
    <col min="11796" max="11796" width="1.140625" style="165" customWidth="1"/>
    <col min="11797" max="11799" width="0" style="165" hidden="1" customWidth="1"/>
    <col min="11800" max="11800" width="13.28515625" style="165" customWidth="1"/>
    <col min="11801" max="11801" width="8.28515625" style="165" bestFit="1" customWidth="1"/>
    <col min="11802" max="11802" width="1.28515625" style="165" customWidth="1"/>
    <col min="11803" max="11803" width="0" style="165" hidden="1" customWidth="1"/>
    <col min="11804" max="11804" width="11.85546875" style="165" customWidth="1"/>
    <col min="11805" max="11805" width="7.140625" style="165" bestFit="1" customWidth="1"/>
    <col min="11806" max="11806" width="1.42578125" style="165" customWidth="1"/>
    <col min="11807" max="11807" width="13" style="165" customWidth="1"/>
    <col min="11808" max="11808" width="8.28515625" style="165" bestFit="1" customWidth="1"/>
    <col min="11809" max="11809" width="1.140625" style="165" customWidth="1"/>
    <col min="11810" max="11810" width="15.7109375" style="165" customWidth="1"/>
    <col min="11811" max="11811" width="1.140625" style="165" customWidth="1"/>
    <col min="11812" max="11812" width="9.140625" style="165"/>
    <col min="11813" max="11814" width="19.42578125" style="165" customWidth="1"/>
    <col min="11815" max="11815" width="9.140625" style="165"/>
    <col min="11816" max="11816" width="12.7109375" style="165" bestFit="1" customWidth="1"/>
    <col min="11817" max="11817" width="9.140625" style="165"/>
    <col min="11818" max="11818" width="11.7109375" style="165" bestFit="1" customWidth="1"/>
    <col min="11819" max="11819" width="10.7109375" style="165" bestFit="1" customWidth="1"/>
    <col min="11820" max="12028" width="9.140625" style="165"/>
    <col min="12029" max="12029" width="1.5703125" style="165" customWidth="1"/>
    <col min="12030" max="12030" width="1.85546875" style="165" customWidth="1"/>
    <col min="12031" max="12031" width="24.28515625" style="165" customWidth="1"/>
    <col min="12032" max="12050" width="0" style="165" hidden="1" customWidth="1"/>
    <col min="12051" max="12051" width="14.5703125" style="165" customWidth="1"/>
    <col min="12052" max="12052" width="1.140625" style="165" customWidth="1"/>
    <col min="12053" max="12055" width="0" style="165" hidden="1" customWidth="1"/>
    <col min="12056" max="12056" width="13.28515625" style="165" customWidth="1"/>
    <col min="12057" max="12057" width="8.28515625" style="165" bestFit="1" customWidth="1"/>
    <col min="12058" max="12058" width="1.28515625" style="165" customWidth="1"/>
    <col min="12059" max="12059" width="0" style="165" hidden="1" customWidth="1"/>
    <col min="12060" max="12060" width="11.85546875" style="165" customWidth="1"/>
    <col min="12061" max="12061" width="7.140625" style="165" bestFit="1" customWidth="1"/>
    <col min="12062" max="12062" width="1.42578125" style="165" customWidth="1"/>
    <col min="12063" max="12063" width="13" style="165" customWidth="1"/>
    <col min="12064" max="12064" width="8.28515625" style="165" bestFit="1" customWidth="1"/>
    <col min="12065" max="12065" width="1.140625" style="165" customWidth="1"/>
    <col min="12066" max="12066" width="15.7109375" style="165" customWidth="1"/>
    <col min="12067" max="12067" width="1.140625" style="165" customWidth="1"/>
    <col min="12068" max="12068" width="9.140625" style="165"/>
    <col min="12069" max="12070" width="19.42578125" style="165" customWidth="1"/>
    <col min="12071" max="12071" width="9.140625" style="165"/>
    <col min="12072" max="12072" width="12.7109375" style="165" bestFit="1" customWidth="1"/>
    <col min="12073" max="12073" width="9.140625" style="165"/>
    <col min="12074" max="12074" width="11.7109375" style="165" bestFit="1" customWidth="1"/>
    <col min="12075" max="12075" width="10.7109375" style="165" bestFit="1" customWidth="1"/>
    <col min="12076" max="12284" width="9.140625" style="165"/>
    <col min="12285" max="12285" width="1.5703125" style="165" customWidth="1"/>
    <col min="12286" max="12286" width="1.85546875" style="165" customWidth="1"/>
    <col min="12287" max="12287" width="24.28515625" style="165" customWidth="1"/>
    <col min="12288" max="12306" width="0" style="165" hidden="1" customWidth="1"/>
    <col min="12307" max="12307" width="14.5703125" style="165" customWidth="1"/>
    <col min="12308" max="12308" width="1.140625" style="165" customWidth="1"/>
    <col min="12309" max="12311" width="0" style="165" hidden="1" customWidth="1"/>
    <col min="12312" max="12312" width="13.28515625" style="165" customWidth="1"/>
    <col min="12313" max="12313" width="8.28515625" style="165" bestFit="1" customWidth="1"/>
    <col min="12314" max="12314" width="1.28515625" style="165" customWidth="1"/>
    <col min="12315" max="12315" width="0" style="165" hidden="1" customWidth="1"/>
    <col min="12316" max="12316" width="11.85546875" style="165" customWidth="1"/>
    <col min="12317" max="12317" width="7.140625" style="165" bestFit="1" customWidth="1"/>
    <col min="12318" max="12318" width="1.42578125" style="165" customWidth="1"/>
    <col min="12319" max="12319" width="13" style="165" customWidth="1"/>
    <col min="12320" max="12320" width="8.28515625" style="165" bestFit="1" customWidth="1"/>
    <col min="12321" max="12321" width="1.140625" style="165" customWidth="1"/>
    <col min="12322" max="12322" width="15.7109375" style="165" customWidth="1"/>
    <col min="12323" max="12323" width="1.140625" style="165" customWidth="1"/>
    <col min="12324" max="12324" width="9.140625" style="165"/>
    <col min="12325" max="12326" width="19.42578125" style="165" customWidth="1"/>
    <col min="12327" max="12327" width="9.140625" style="165"/>
    <col min="12328" max="12328" width="12.7109375" style="165" bestFit="1" customWidth="1"/>
    <col min="12329" max="12329" width="9.140625" style="165"/>
    <col min="12330" max="12330" width="11.7109375" style="165" bestFit="1" customWidth="1"/>
    <col min="12331" max="12331" width="10.7109375" style="165" bestFit="1" customWidth="1"/>
    <col min="12332" max="12540" width="9.140625" style="165"/>
    <col min="12541" max="12541" width="1.5703125" style="165" customWidth="1"/>
    <col min="12542" max="12542" width="1.85546875" style="165" customWidth="1"/>
    <col min="12543" max="12543" width="24.28515625" style="165" customWidth="1"/>
    <col min="12544" max="12562" width="0" style="165" hidden="1" customWidth="1"/>
    <col min="12563" max="12563" width="14.5703125" style="165" customWidth="1"/>
    <col min="12564" max="12564" width="1.140625" style="165" customWidth="1"/>
    <col min="12565" max="12567" width="0" style="165" hidden="1" customWidth="1"/>
    <col min="12568" max="12568" width="13.28515625" style="165" customWidth="1"/>
    <col min="12569" max="12569" width="8.28515625" style="165" bestFit="1" customWidth="1"/>
    <col min="12570" max="12570" width="1.28515625" style="165" customWidth="1"/>
    <col min="12571" max="12571" width="0" style="165" hidden="1" customWidth="1"/>
    <col min="12572" max="12572" width="11.85546875" style="165" customWidth="1"/>
    <col min="12573" max="12573" width="7.140625" style="165" bestFit="1" customWidth="1"/>
    <col min="12574" max="12574" width="1.42578125" style="165" customWidth="1"/>
    <col min="12575" max="12575" width="13" style="165" customWidth="1"/>
    <col min="12576" max="12576" width="8.28515625" style="165" bestFit="1" customWidth="1"/>
    <col min="12577" max="12577" width="1.140625" style="165" customWidth="1"/>
    <col min="12578" max="12578" width="15.7109375" style="165" customWidth="1"/>
    <col min="12579" max="12579" width="1.140625" style="165" customWidth="1"/>
    <col min="12580" max="12580" width="9.140625" style="165"/>
    <col min="12581" max="12582" width="19.42578125" style="165" customWidth="1"/>
    <col min="12583" max="12583" width="9.140625" style="165"/>
    <col min="12584" max="12584" width="12.7109375" style="165" bestFit="1" customWidth="1"/>
    <col min="12585" max="12585" width="9.140625" style="165"/>
    <col min="12586" max="12586" width="11.7109375" style="165" bestFit="1" customWidth="1"/>
    <col min="12587" max="12587" width="10.7109375" style="165" bestFit="1" customWidth="1"/>
    <col min="12588" max="12796" width="9.140625" style="165"/>
    <col min="12797" max="12797" width="1.5703125" style="165" customWidth="1"/>
    <col min="12798" max="12798" width="1.85546875" style="165" customWidth="1"/>
    <col min="12799" max="12799" width="24.28515625" style="165" customWidth="1"/>
    <col min="12800" max="12818" width="0" style="165" hidden="1" customWidth="1"/>
    <col min="12819" max="12819" width="14.5703125" style="165" customWidth="1"/>
    <col min="12820" max="12820" width="1.140625" style="165" customWidth="1"/>
    <col min="12821" max="12823" width="0" style="165" hidden="1" customWidth="1"/>
    <col min="12824" max="12824" width="13.28515625" style="165" customWidth="1"/>
    <col min="12825" max="12825" width="8.28515625" style="165" bestFit="1" customWidth="1"/>
    <col min="12826" max="12826" width="1.28515625" style="165" customWidth="1"/>
    <col min="12827" max="12827" width="0" style="165" hidden="1" customWidth="1"/>
    <col min="12828" max="12828" width="11.85546875" style="165" customWidth="1"/>
    <col min="12829" max="12829" width="7.140625" style="165" bestFit="1" customWidth="1"/>
    <col min="12830" max="12830" width="1.42578125" style="165" customWidth="1"/>
    <col min="12831" max="12831" width="13" style="165" customWidth="1"/>
    <col min="12832" max="12832" width="8.28515625" style="165" bestFit="1" customWidth="1"/>
    <col min="12833" max="12833" width="1.140625" style="165" customWidth="1"/>
    <col min="12834" max="12834" width="15.7109375" style="165" customWidth="1"/>
    <col min="12835" max="12835" width="1.140625" style="165" customWidth="1"/>
    <col min="12836" max="12836" width="9.140625" style="165"/>
    <col min="12837" max="12838" width="19.42578125" style="165" customWidth="1"/>
    <col min="12839" max="12839" width="9.140625" style="165"/>
    <col min="12840" max="12840" width="12.7109375" style="165" bestFit="1" customWidth="1"/>
    <col min="12841" max="12841" width="9.140625" style="165"/>
    <col min="12842" max="12842" width="11.7109375" style="165" bestFit="1" customWidth="1"/>
    <col min="12843" max="12843" width="10.7109375" style="165" bestFit="1" customWidth="1"/>
    <col min="12844" max="13052" width="9.140625" style="165"/>
    <col min="13053" max="13053" width="1.5703125" style="165" customWidth="1"/>
    <col min="13054" max="13054" width="1.85546875" style="165" customWidth="1"/>
    <col min="13055" max="13055" width="24.28515625" style="165" customWidth="1"/>
    <col min="13056" max="13074" width="0" style="165" hidden="1" customWidth="1"/>
    <col min="13075" max="13075" width="14.5703125" style="165" customWidth="1"/>
    <col min="13076" max="13076" width="1.140625" style="165" customWidth="1"/>
    <col min="13077" max="13079" width="0" style="165" hidden="1" customWidth="1"/>
    <col min="13080" max="13080" width="13.28515625" style="165" customWidth="1"/>
    <col min="13081" max="13081" width="8.28515625" style="165" bestFit="1" customWidth="1"/>
    <col min="13082" max="13082" width="1.28515625" style="165" customWidth="1"/>
    <col min="13083" max="13083" width="0" style="165" hidden="1" customWidth="1"/>
    <col min="13084" max="13084" width="11.85546875" style="165" customWidth="1"/>
    <col min="13085" max="13085" width="7.140625" style="165" bestFit="1" customWidth="1"/>
    <col min="13086" max="13086" width="1.42578125" style="165" customWidth="1"/>
    <col min="13087" max="13087" width="13" style="165" customWidth="1"/>
    <col min="13088" max="13088" width="8.28515625" style="165" bestFit="1" customWidth="1"/>
    <col min="13089" max="13089" width="1.140625" style="165" customWidth="1"/>
    <col min="13090" max="13090" width="15.7109375" style="165" customWidth="1"/>
    <col min="13091" max="13091" width="1.140625" style="165" customWidth="1"/>
    <col min="13092" max="13092" width="9.140625" style="165"/>
    <col min="13093" max="13094" width="19.42578125" style="165" customWidth="1"/>
    <col min="13095" max="13095" width="9.140625" style="165"/>
    <col min="13096" max="13096" width="12.7109375" style="165" bestFit="1" customWidth="1"/>
    <col min="13097" max="13097" width="9.140625" style="165"/>
    <col min="13098" max="13098" width="11.7109375" style="165" bestFit="1" customWidth="1"/>
    <col min="13099" max="13099" width="10.7109375" style="165" bestFit="1" customWidth="1"/>
    <col min="13100" max="13308" width="9.140625" style="165"/>
    <col min="13309" max="13309" width="1.5703125" style="165" customWidth="1"/>
    <col min="13310" max="13310" width="1.85546875" style="165" customWidth="1"/>
    <col min="13311" max="13311" width="24.28515625" style="165" customWidth="1"/>
    <col min="13312" max="13330" width="0" style="165" hidden="1" customWidth="1"/>
    <col min="13331" max="13331" width="14.5703125" style="165" customWidth="1"/>
    <col min="13332" max="13332" width="1.140625" style="165" customWidth="1"/>
    <col min="13333" max="13335" width="0" style="165" hidden="1" customWidth="1"/>
    <col min="13336" max="13336" width="13.28515625" style="165" customWidth="1"/>
    <col min="13337" max="13337" width="8.28515625" style="165" bestFit="1" customWidth="1"/>
    <col min="13338" max="13338" width="1.28515625" style="165" customWidth="1"/>
    <col min="13339" max="13339" width="0" style="165" hidden="1" customWidth="1"/>
    <col min="13340" max="13340" width="11.85546875" style="165" customWidth="1"/>
    <col min="13341" max="13341" width="7.140625" style="165" bestFit="1" customWidth="1"/>
    <col min="13342" max="13342" width="1.42578125" style="165" customWidth="1"/>
    <col min="13343" max="13343" width="13" style="165" customWidth="1"/>
    <col min="13344" max="13344" width="8.28515625" style="165" bestFit="1" customWidth="1"/>
    <col min="13345" max="13345" width="1.140625" style="165" customWidth="1"/>
    <col min="13346" max="13346" width="15.7109375" style="165" customWidth="1"/>
    <col min="13347" max="13347" width="1.140625" style="165" customWidth="1"/>
    <col min="13348" max="13348" width="9.140625" style="165"/>
    <col min="13349" max="13350" width="19.42578125" style="165" customWidth="1"/>
    <col min="13351" max="13351" width="9.140625" style="165"/>
    <col min="13352" max="13352" width="12.7109375" style="165" bestFit="1" customWidth="1"/>
    <col min="13353" max="13353" width="9.140625" style="165"/>
    <col min="13354" max="13354" width="11.7109375" style="165" bestFit="1" customWidth="1"/>
    <col min="13355" max="13355" width="10.7109375" style="165" bestFit="1" customWidth="1"/>
    <col min="13356" max="13564" width="9.140625" style="165"/>
    <col min="13565" max="13565" width="1.5703125" style="165" customWidth="1"/>
    <col min="13566" max="13566" width="1.85546875" style="165" customWidth="1"/>
    <col min="13567" max="13567" width="24.28515625" style="165" customWidth="1"/>
    <col min="13568" max="13586" width="0" style="165" hidden="1" customWidth="1"/>
    <col min="13587" max="13587" width="14.5703125" style="165" customWidth="1"/>
    <col min="13588" max="13588" width="1.140625" style="165" customWidth="1"/>
    <col min="13589" max="13591" width="0" style="165" hidden="1" customWidth="1"/>
    <col min="13592" max="13592" width="13.28515625" style="165" customWidth="1"/>
    <col min="13593" max="13593" width="8.28515625" style="165" bestFit="1" customWidth="1"/>
    <col min="13594" max="13594" width="1.28515625" style="165" customWidth="1"/>
    <col min="13595" max="13595" width="0" style="165" hidden="1" customWidth="1"/>
    <col min="13596" max="13596" width="11.85546875" style="165" customWidth="1"/>
    <col min="13597" max="13597" width="7.140625" style="165" bestFit="1" customWidth="1"/>
    <col min="13598" max="13598" width="1.42578125" style="165" customWidth="1"/>
    <col min="13599" max="13599" width="13" style="165" customWidth="1"/>
    <col min="13600" max="13600" width="8.28515625" style="165" bestFit="1" customWidth="1"/>
    <col min="13601" max="13601" width="1.140625" style="165" customWidth="1"/>
    <col min="13602" max="13602" width="15.7109375" style="165" customWidth="1"/>
    <col min="13603" max="13603" width="1.140625" style="165" customWidth="1"/>
    <col min="13604" max="13604" width="9.140625" style="165"/>
    <col min="13605" max="13606" width="19.42578125" style="165" customWidth="1"/>
    <col min="13607" max="13607" width="9.140625" style="165"/>
    <col min="13608" max="13608" width="12.7109375" style="165" bestFit="1" customWidth="1"/>
    <col min="13609" max="13609" width="9.140625" style="165"/>
    <col min="13610" max="13610" width="11.7109375" style="165" bestFit="1" customWidth="1"/>
    <col min="13611" max="13611" width="10.7109375" style="165" bestFit="1" customWidth="1"/>
    <col min="13612" max="13820" width="9.140625" style="165"/>
    <col min="13821" max="13821" width="1.5703125" style="165" customWidth="1"/>
    <col min="13822" max="13822" width="1.85546875" style="165" customWidth="1"/>
    <col min="13823" max="13823" width="24.28515625" style="165" customWidth="1"/>
    <col min="13824" max="13842" width="0" style="165" hidden="1" customWidth="1"/>
    <col min="13843" max="13843" width="14.5703125" style="165" customWidth="1"/>
    <col min="13844" max="13844" width="1.140625" style="165" customWidth="1"/>
    <col min="13845" max="13847" width="0" style="165" hidden="1" customWidth="1"/>
    <col min="13848" max="13848" width="13.28515625" style="165" customWidth="1"/>
    <col min="13849" max="13849" width="8.28515625" style="165" bestFit="1" customWidth="1"/>
    <col min="13850" max="13850" width="1.28515625" style="165" customWidth="1"/>
    <col min="13851" max="13851" width="0" style="165" hidden="1" customWidth="1"/>
    <col min="13852" max="13852" width="11.85546875" style="165" customWidth="1"/>
    <col min="13853" max="13853" width="7.140625" style="165" bestFit="1" customWidth="1"/>
    <col min="13854" max="13854" width="1.42578125" style="165" customWidth="1"/>
    <col min="13855" max="13855" width="13" style="165" customWidth="1"/>
    <col min="13856" max="13856" width="8.28515625" style="165" bestFit="1" customWidth="1"/>
    <col min="13857" max="13857" width="1.140625" style="165" customWidth="1"/>
    <col min="13858" max="13858" width="15.7109375" style="165" customWidth="1"/>
    <col min="13859" max="13859" width="1.140625" style="165" customWidth="1"/>
    <col min="13860" max="13860" width="9.140625" style="165"/>
    <col min="13861" max="13862" width="19.42578125" style="165" customWidth="1"/>
    <col min="13863" max="13863" width="9.140625" style="165"/>
    <col min="13864" max="13864" width="12.7109375" style="165" bestFit="1" customWidth="1"/>
    <col min="13865" max="13865" width="9.140625" style="165"/>
    <col min="13866" max="13866" width="11.7109375" style="165" bestFit="1" customWidth="1"/>
    <col min="13867" max="13867" width="10.7109375" style="165" bestFit="1" customWidth="1"/>
    <col min="13868" max="14076" width="9.140625" style="165"/>
    <col min="14077" max="14077" width="1.5703125" style="165" customWidth="1"/>
    <col min="14078" max="14078" width="1.85546875" style="165" customWidth="1"/>
    <col min="14079" max="14079" width="24.28515625" style="165" customWidth="1"/>
    <col min="14080" max="14098" width="0" style="165" hidden="1" customWidth="1"/>
    <col min="14099" max="14099" width="14.5703125" style="165" customWidth="1"/>
    <col min="14100" max="14100" width="1.140625" style="165" customWidth="1"/>
    <col min="14101" max="14103" width="0" style="165" hidden="1" customWidth="1"/>
    <col min="14104" max="14104" width="13.28515625" style="165" customWidth="1"/>
    <col min="14105" max="14105" width="8.28515625" style="165" bestFit="1" customWidth="1"/>
    <col min="14106" max="14106" width="1.28515625" style="165" customWidth="1"/>
    <col min="14107" max="14107" width="0" style="165" hidden="1" customWidth="1"/>
    <col min="14108" max="14108" width="11.85546875" style="165" customWidth="1"/>
    <col min="14109" max="14109" width="7.140625" style="165" bestFit="1" customWidth="1"/>
    <col min="14110" max="14110" width="1.42578125" style="165" customWidth="1"/>
    <col min="14111" max="14111" width="13" style="165" customWidth="1"/>
    <col min="14112" max="14112" width="8.28515625" style="165" bestFit="1" customWidth="1"/>
    <col min="14113" max="14113" width="1.140625" style="165" customWidth="1"/>
    <col min="14114" max="14114" width="15.7109375" style="165" customWidth="1"/>
    <col min="14115" max="14115" width="1.140625" style="165" customWidth="1"/>
    <col min="14116" max="14116" width="9.140625" style="165"/>
    <col min="14117" max="14118" width="19.42578125" style="165" customWidth="1"/>
    <col min="14119" max="14119" width="9.140625" style="165"/>
    <col min="14120" max="14120" width="12.7109375" style="165" bestFit="1" customWidth="1"/>
    <col min="14121" max="14121" width="9.140625" style="165"/>
    <col min="14122" max="14122" width="11.7109375" style="165" bestFit="1" customWidth="1"/>
    <col min="14123" max="14123" width="10.7109375" style="165" bestFit="1" customWidth="1"/>
    <col min="14124" max="14332" width="9.140625" style="165"/>
    <col min="14333" max="14333" width="1.5703125" style="165" customWidth="1"/>
    <col min="14334" max="14334" width="1.85546875" style="165" customWidth="1"/>
    <col min="14335" max="14335" width="24.28515625" style="165" customWidth="1"/>
    <col min="14336" max="14354" width="0" style="165" hidden="1" customWidth="1"/>
    <col min="14355" max="14355" width="14.5703125" style="165" customWidth="1"/>
    <col min="14356" max="14356" width="1.140625" style="165" customWidth="1"/>
    <col min="14357" max="14359" width="0" style="165" hidden="1" customWidth="1"/>
    <col min="14360" max="14360" width="13.28515625" style="165" customWidth="1"/>
    <col min="14361" max="14361" width="8.28515625" style="165" bestFit="1" customWidth="1"/>
    <col min="14362" max="14362" width="1.28515625" style="165" customWidth="1"/>
    <col min="14363" max="14363" width="0" style="165" hidden="1" customWidth="1"/>
    <col min="14364" max="14364" width="11.85546875" style="165" customWidth="1"/>
    <col min="14365" max="14365" width="7.140625" style="165" bestFit="1" customWidth="1"/>
    <col min="14366" max="14366" width="1.42578125" style="165" customWidth="1"/>
    <col min="14367" max="14367" width="13" style="165" customWidth="1"/>
    <col min="14368" max="14368" width="8.28515625" style="165" bestFit="1" customWidth="1"/>
    <col min="14369" max="14369" width="1.140625" style="165" customWidth="1"/>
    <col min="14370" max="14370" width="15.7109375" style="165" customWidth="1"/>
    <col min="14371" max="14371" width="1.140625" style="165" customWidth="1"/>
    <col min="14372" max="14372" width="9.140625" style="165"/>
    <col min="14373" max="14374" width="19.42578125" style="165" customWidth="1"/>
    <col min="14375" max="14375" width="9.140625" style="165"/>
    <col min="14376" max="14376" width="12.7109375" style="165" bestFit="1" customWidth="1"/>
    <col min="14377" max="14377" width="9.140625" style="165"/>
    <col min="14378" max="14378" width="11.7109375" style="165" bestFit="1" customWidth="1"/>
    <col min="14379" max="14379" width="10.7109375" style="165" bestFit="1" customWidth="1"/>
    <col min="14380" max="14588" width="9.140625" style="165"/>
    <col min="14589" max="14589" width="1.5703125" style="165" customWidth="1"/>
    <col min="14590" max="14590" width="1.85546875" style="165" customWidth="1"/>
    <col min="14591" max="14591" width="24.28515625" style="165" customWidth="1"/>
    <col min="14592" max="14610" width="0" style="165" hidden="1" customWidth="1"/>
    <col min="14611" max="14611" width="14.5703125" style="165" customWidth="1"/>
    <col min="14612" max="14612" width="1.140625" style="165" customWidth="1"/>
    <col min="14613" max="14615" width="0" style="165" hidden="1" customWidth="1"/>
    <col min="14616" max="14616" width="13.28515625" style="165" customWidth="1"/>
    <col min="14617" max="14617" width="8.28515625" style="165" bestFit="1" customWidth="1"/>
    <col min="14618" max="14618" width="1.28515625" style="165" customWidth="1"/>
    <col min="14619" max="14619" width="0" style="165" hidden="1" customWidth="1"/>
    <col min="14620" max="14620" width="11.85546875" style="165" customWidth="1"/>
    <col min="14621" max="14621" width="7.140625" style="165" bestFit="1" customWidth="1"/>
    <col min="14622" max="14622" width="1.42578125" style="165" customWidth="1"/>
    <col min="14623" max="14623" width="13" style="165" customWidth="1"/>
    <col min="14624" max="14624" width="8.28515625" style="165" bestFit="1" customWidth="1"/>
    <col min="14625" max="14625" width="1.140625" style="165" customWidth="1"/>
    <col min="14626" max="14626" width="15.7109375" style="165" customWidth="1"/>
    <col min="14627" max="14627" width="1.140625" style="165" customWidth="1"/>
    <col min="14628" max="14628" width="9.140625" style="165"/>
    <col min="14629" max="14630" width="19.42578125" style="165" customWidth="1"/>
    <col min="14631" max="14631" width="9.140625" style="165"/>
    <col min="14632" max="14632" width="12.7109375" style="165" bestFit="1" customWidth="1"/>
    <col min="14633" max="14633" width="9.140625" style="165"/>
    <col min="14634" max="14634" width="11.7109375" style="165" bestFit="1" customWidth="1"/>
    <col min="14635" max="14635" width="10.7109375" style="165" bestFit="1" customWidth="1"/>
    <col min="14636" max="14844" width="9.140625" style="165"/>
    <col min="14845" max="14845" width="1.5703125" style="165" customWidth="1"/>
    <col min="14846" max="14846" width="1.85546875" style="165" customWidth="1"/>
    <col min="14847" max="14847" width="24.28515625" style="165" customWidth="1"/>
    <col min="14848" max="14866" width="0" style="165" hidden="1" customWidth="1"/>
    <col min="14867" max="14867" width="14.5703125" style="165" customWidth="1"/>
    <col min="14868" max="14868" width="1.140625" style="165" customWidth="1"/>
    <col min="14869" max="14871" width="0" style="165" hidden="1" customWidth="1"/>
    <col min="14872" max="14872" width="13.28515625" style="165" customWidth="1"/>
    <col min="14873" max="14873" width="8.28515625" style="165" bestFit="1" customWidth="1"/>
    <col min="14874" max="14874" width="1.28515625" style="165" customWidth="1"/>
    <col min="14875" max="14875" width="0" style="165" hidden="1" customWidth="1"/>
    <col min="14876" max="14876" width="11.85546875" style="165" customWidth="1"/>
    <col min="14877" max="14877" width="7.140625" style="165" bestFit="1" customWidth="1"/>
    <col min="14878" max="14878" width="1.42578125" style="165" customWidth="1"/>
    <col min="14879" max="14879" width="13" style="165" customWidth="1"/>
    <col min="14880" max="14880" width="8.28515625" style="165" bestFit="1" customWidth="1"/>
    <col min="14881" max="14881" width="1.140625" style="165" customWidth="1"/>
    <col min="14882" max="14882" width="15.7109375" style="165" customWidth="1"/>
    <col min="14883" max="14883" width="1.140625" style="165" customWidth="1"/>
    <col min="14884" max="14884" width="9.140625" style="165"/>
    <col min="14885" max="14886" width="19.42578125" style="165" customWidth="1"/>
    <col min="14887" max="14887" width="9.140625" style="165"/>
    <col min="14888" max="14888" width="12.7109375" style="165" bestFit="1" customWidth="1"/>
    <col min="14889" max="14889" width="9.140625" style="165"/>
    <col min="14890" max="14890" width="11.7109375" style="165" bestFit="1" customWidth="1"/>
    <col min="14891" max="14891" width="10.7109375" style="165" bestFit="1" customWidth="1"/>
    <col min="14892" max="15100" width="9.140625" style="165"/>
    <col min="15101" max="15101" width="1.5703125" style="165" customWidth="1"/>
    <col min="15102" max="15102" width="1.85546875" style="165" customWidth="1"/>
    <col min="15103" max="15103" width="24.28515625" style="165" customWidth="1"/>
    <col min="15104" max="15122" width="0" style="165" hidden="1" customWidth="1"/>
    <col min="15123" max="15123" width="14.5703125" style="165" customWidth="1"/>
    <col min="15124" max="15124" width="1.140625" style="165" customWidth="1"/>
    <col min="15125" max="15127" width="0" style="165" hidden="1" customWidth="1"/>
    <col min="15128" max="15128" width="13.28515625" style="165" customWidth="1"/>
    <col min="15129" max="15129" width="8.28515625" style="165" bestFit="1" customWidth="1"/>
    <col min="15130" max="15130" width="1.28515625" style="165" customWidth="1"/>
    <col min="15131" max="15131" width="0" style="165" hidden="1" customWidth="1"/>
    <col min="15132" max="15132" width="11.85546875" style="165" customWidth="1"/>
    <col min="15133" max="15133" width="7.140625" style="165" bestFit="1" customWidth="1"/>
    <col min="15134" max="15134" width="1.42578125" style="165" customWidth="1"/>
    <col min="15135" max="15135" width="13" style="165" customWidth="1"/>
    <col min="15136" max="15136" width="8.28515625" style="165" bestFit="1" customWidth="1"/>
    <col min="15137" max="15137" width="1.140625" style="165" customWidth="1"/>
    <col min="15138" max="15138" width="15.7109375" style="165" customWidth="1"/>
    <col min="15139" max="15139" width="1.140625" style="165" customWidth="1"/>
    <col min="15140" max="15140" width="9.140625" style="165"/>
    <col min="15141" max="15142" width="19.42578125" style="165" customWidth="1"/>
    <col min="15143" max="15143" width="9.140625" style="165"/>
    <col min="15144" max="15144" width="12.7109375" style="165" bestFit="1" customWidth="1"/>
    <col min="15145" max="15145" width="9.140625" style="165"/>
    <col min="15146" max="15146" width="11.7109375" style="165" bestFit="1" customWidth="1"/>
    <col min="15147" max="15147" width="10.7109375" style="165" bestFit="1" customWidth="1"/>
    <col min="15148" max="15356" width="9.140625" style="165"/>
    <col min="15357" max="15357" width="1.5703125" style="165" customWidth="1"/>
    <col min="15358" max="15358" width="1.85546875" style="165" customWidth="1"/>
    <col min="15359" max="15359" width="24.28515625" style="165" customWidth="1"/>
    <col min="15360" max="15378" width="0" style="165" hidden="1" customWidth="1"/>
    <col min="15379" max="15379" width="14.5703125" style="165" customWidth="1"/>
    <col min="15380" max="15380" width="1.140625" style="165" customWidth="1"/>
    <col min="15381" max="15383" width="0" style="165" hidden="1" customWidth="1"/>
    <col min="15384" max="15384" width="13.28515625" style="165" customWidth="1"/>
    <col min="15385" max="15385" width="8.28515625" style="165" bestFit="1" customWidth="1"/>
    <col min="15386" max="15386" width="1.28515625" style="165" customWidth="1"/>
    <col min="15387" max="15387" width="0" style="165" hidden="1" customWidth="1"/>
    <col min="15388" max="15388" width="11.85546875" style="165" customWidth="1"/>
    <col min="15389" max="15389" width="7.140625" style="165" bestFit="1" customWidth="1"/>
    <col min="15390" max="15390" width="1.42578125" style="165" customWidth="1"/>
    <col min="15391" max="15391" width="13" style="165" customWidth="1"/>
    <col min="15392" max="15392" width="8.28515625" style="165" bestFit="1" customWidth="1"/>
    <col min="15393" max="15393" width="1.140625" style="165" customWidth="1"/>
    <col min="15394" max="15394" width="15.7109375" style="165" customWidth="1"/>
    <col min="15395" max="15395" width="1.140625" style="165" customWidth="1"/>
    <col min="15396" max="15396" width="9.140625" style="165"/>
    <col min="15397" max="15398" width="19.42578125" style="165" customWidth="1"/>
    <col min="15399" max="15399" width="9.140625" style="165"/>
    <col min="15400" max="15400" width="12.7109375" style="165" bestFit="1" customWidth="1"/>
    <col min="15401" max="15401" width="9.140625" style="165"/>
    <col min="15402" max="15402" width="11.7109375" style="165" bestFit="1" customWidth="1"/>
    <col min="15403" max="15403" width="10.7109375" style="165" bestFit="1" customWidth="1"/>
    <col min="15404" max="15612" width="9.140625" style="165"/>
    <col min="15613" max="15613" width="1.5703125" style="165" customWidth="1"/>
    <col min="15614" max="15614" width="1.85546875" style="165" customWidth="1"/>
    <col min="15615" max="15615" width="24.28515625" style="165" customWidth="1"/>
    <col min="15616" max="15634" width="0" style="165" hidden="1" customWidth="1"/>
    <col min="15635" max="15635" width="14.5703125" style="165" customWidth="1"/>
    <col min="15636" max="15636" width="1.140625" style="165" customWidth="1"/>
    <col min="15637" max="15639" width="0" style="165" hidden="1" customWidth="1"/>
    <col min="15640" max="15640" width="13.28515625" style="165" customWidth="1"/>
    <col min="15641" max="15641" width="8.28515625" style="165" bestFit="1" customWidth="1"/>
    <col min="15642" max="15642" width="1.28515625" style="165" customWidth="1"/>
    <col min="15643" max="15643" width="0" style="165" hidden="1" customWidth="1"/>
    <col min="15644" max="15644" width="11.85546875" style="165" customWidth="1"/>
    <col min="15645" max="15645" width="7.140625" style="165" bestFit="1" customWidth="1"/>
    <col min="15646" max="15646" width="1.42578125" style="165" customWidth="1"/>
    <col min="15647" max="15647" width="13" style="165" customWidth="1"/>
    <col min="15648" max="15648" width="8.28515625" style="165" bestFit="1" customWidth="1"/>
    <col min="15649" max="15649" width="1.140625" style="165" customWidth="1"/>
    <col min="15650" max="15650" width="15.7109375" style="165" customWidth="1"/>
    <col min="15651" max="15651" width="1.140625" style="165" customWidth="1"/>
    <col min="15652" max="15652" width="9.140625" style="165"/>
    <col min="15653" max="15654" width="19.42578125" style="165" customWidth="1"/>
    <col min="15655" max="15655" width="9.140625" style="165"/>
    <col min="15656" max="15656" width="12.7109375" style="165" bestFit="1" customWidth="1"/>
    <col min="15657" max="15657" width="9.140625" style="165"/>
    <col min="15658" max="15658" width="11.7109375" style="165" bestFit="1" customWidth="1"/>
    <col min="15659" max="15659" width="10.7109375" style="165" bestFit="1" customWidth="1"/>
    <col min="15660" max="15868" width="9.140625" style="165"/>
    <col min="15869" max="15869" width="1.5703125" style="165" customWidth="1"/>
    <col min="15870" max="15870" width="1.85546875" style="165" customWidth="1"/>
    <col min="15871" max="15871" width="24.28515625" style="165" customWidth="1"/>
    <col min="15872" max="15890" width="0" style="165" hidden="1" customWidth="1"/>
    <col min="15891" max="15891" width="14.5703125" style="165" customWidth="1"/>
    <col min="15892" max="15892" width="1.140625" style="165" customWidth="1"/>
    <col min="15893" max="15895" width="0" style="165" hidden="1" customWidth="1"/>
    <col min="15896" max="15896" width="13.28515625" style="165" customWidth="1"/>
    <col min="15897" max="15897" width="8.28515625" style="165" bestFit="1" customWidth="1"/>
    <col min="15898" max="15898" width="1.28515625" style="165" customWidth="1"/>
    <col min="15899" max="15899" width="0" style="165" hidden="1" customWidth="1"/>
    <col min="15900" max="15900" width="11.85546875" style="165" customWidth="1"/>
    <col min="15901" max="15901" width="7.140625" style="165" bestFit="1" customWidth="1"/>
    <col min="15902" max="15902" width="1.42578125" style="165" customWidth="1"/>
    <col min="15903" max="15903" width="13" style="165" customWidth="1"/>
    <col min="15904" max="15904" width="8.28515625" style="165" bestFit="1" customWidth="1"/>
    <col min="15905" max="15905" width="1.140625" style="165" customWidth="1"/>
    <col min="15906" max="15906" width="15.7109375" style="165" customWidth="1"/>
    <col min="15907" max="15907" width="1.140625" style="165" customWidth="1"/>
    <col min="15908" max="15908" width="9.140625" style="165"/>
    <col min="15909" max="15910" width="19.42578125" style="165" customWidth="1"/>
    <col min="15911" max="15911" width="9.140625" style="165"/>
    <col min="15912" max="15912" width="12.7109375" style="165" bestFit="1" customWidth="1"/>
    <col min="15913" max="15913" width="9.140625" style="165"/>
    <col min="15914" max="15914" width="11.7109375" style="165" bestFit="1" customWidth="1"/>
    <col min="15915" max="15915" width="10.7109375" style="165" bestFit="1" customWidth="1"/>
    <col min="15916" max="16124" width="9.140625" style="165"/>
    <col min="16125" max="16125" width="1.5703125" style="165" customWidth="1"/>
    <col min="16126" max="16126" width="1.85546875" style="165" customWidth="1"/>
    <col min="16127" max="16127" width="24.28515625" style="165" customWidth="1"/>
    <col min="16128" max="16146" width="0" style="165" hidden="1" customWidth="1"/>
    <col min="16147" max="16147" width="14.5703125" style="165" customWidth="1"/>
    <col min="16148" max="16148" width="1.140625" style="165" customWidth="1"/>
    <col min="16149" max="16151" width="0" style="165" hidden="1" customWidth="1"/>
    <col min="16152" max="16152" width="13.28515625" style="165" customWidth="1"/>
    <col min="16153" max="16153" width="8.28515625" style="165" bestFit="1" customWidth="1"/>
    <col min="16154" max="16154" width="1.28515625" style="165" customWidth="1"/>
    <col min="16155" max="16155" width="0" style="165" hidden="1" customWidth="1"/>
    <col min="16156" max="16156" width="11.85546875" style="165" customWidth="1"/>
    <col min="16157" max="16157" width="7.140625" style="165" bestFit="1" customWidth="1"/>
    <col min="16158" max="16158" width="1.42578125" style="165" customWidth="1"/>
    <col min="16159" max="16159" width="13" style="165" customWidth="1"/>
    <col min="16160" max="16160" width="8.28515625" style="165" bestFit="1" customWidth="1"/>
    <col min="16161" max="16161" width="1.140625" style="165" customWidth="1"/>
    <col min="16162" max="16162" width="15.7109375" style="165" customWidth="1"/>
    <col min="16163" max="16163" width="1.140625" style="165" customWidth="1"/>
    <col min="16164" max="16164" width="9.140625" style="165"/>
    <col min="16165" max="16166" width="19.42578125" style="165" customWidth="1"/>
    <col min="16167" max="16167" width="9.140625" style="165"/>
    <col min="16168" max="16168" width="12.7109375" style="165" bestFit="1" customWidth="1"/>
    <col min="16169" max="16169" width="9.140625" style="165"/>
    <col min="16170" max="16170" width="11.7109375" style="165" bestFit="1" customWidth="1"/>
    <col min="16171" max="16171" width="10.7109375" style="165" bestFit="1" customWidth="1"/>
    <col min="16172" max="16384" width="9.140625" style="165"/>
  </cols>
  <sheetData>
    <row r="1" spans="1:50" ht="27.75" customHeight="1" thickBot="1" x14ac:dyDescent="0.35">
      <c r="A1" s="259" t="s">
        <v>222</v>
      </c>
      <c r="B1" s="260"/>
      <c r="C1" s="260"/>
      <c r="D1" s="260"/>
      <c r="E1" s="260"/>
      <c r="F1" s="260"/>
      <c r="G1" s="260"/>
      <c r="H1" s="261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1"/>
      <c r="U1" s="260"/>
      <c r="V1" s="262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/>
      <c r="AL1" s="260"/>
      <c r="AM1" s="260"/>
      <c r="AN1" s="260"/>
      <c r="AO1" s="260"/>
      <c r="AP1" s="289" t="s">
        <v>223</v>
      </c>
      <c r="AQ1" s="257"/>
    </row>
    <row r="2" spans="1:50" ht="16.5" customHeight="1" x14ac:dyDescent="0.35">
      <c r="A2" s="258" t="s">
        <v>657</v>
      </c>
      <c r="G2" s="165"/>
      <c r="H2" s="165"/>
      <c r="J2" s="220"/>
      <c r="K2" s="220"/>
      <c r="O2" s="165"/>
      <c r="P2" s="165"/>
      <c r="Q2" s="165"/>
      <c r="R2" s="165"/>
      <c r="T2" s="165"/>
      <c r="Y2" s="220" t="s">
        <v>179</v>
      </c>
      <c r="Z2" s="220"/>
      <c r="AA2" s="220"/>
      <c r="AE2" s="220" t="s">
        <v>179</v>
      </c>
      <c r="AO2" s="256"/>
      <c r="AP2" s="255"/>
    </row>
    <row r="3" spans="1:50" s="169" customFormat="1" ht="20.100000000000001" customHeight="1" x14ac:dyDescent="0.25">
      <c r="G3" s="187"/>
      <c r="H3" s="189"/>
      <c r="J3" s="187"/>
      <c r="K3" s="186"/>
      <c r="O3" s="187"/>
      <c r="P3" s="186"/>
      <c r="Q3" s="186"/>
      <c r="R3" s="186"/>
      <c r="T3" s="189"/>
      <c r="Y3" s="186"/>
      <c r="Z3" s="186"/>
      <c r="AA3" s="187"/>
      <c r="AE3" s="186"/>
    </row>
    <row r="4" spans="1:50" ht="13.5" x14ac:dyDescent="0.25">
      <c r="E4" s="293"/>
      <c r="H4" s="254" t="s">
        <v>221</v>
      </c>
      <c r="L4" s="1042"/>
      <c r="M4" s="1042"/>
      <c r="T4" s="253" t="s">
        <v>220</v>
      </c>
      <c r="U4" s="252"/>
      <c r="W4" s="290" t="s">
        <v>221</v>
      </c>
      <c r="X4" s="248"/>
      <c r="Y4" s="249"/>
      <c r="Z4" s="249"/>
      <c r="AA4" s="251"/>
      <c r="AB4" s="1043" t="s">
        <v>220</v>
      </c>
      <c r="AC4" s="1044"/>
      <c r="AD4" s="250"/>
      <c r="AE4" s="249"/>
      <c r="AF4" s="1043" t="s">
        <v>219</v>
      </c>
      <c r="AG4" s="1044"/>
      <c r="AH4" s="248"/>
      <c r="AI4" s="1043" t="s">
        <v>910</v>
      </c>
      <c r="AJ4" s="1044"/>
      <c r="AK4" s="250"/>
      <c r="AL4" s="1043" t="s">
        <v>911</v>
      </c>
      <c r="AM4" s="1044"/>
      <c r="AN4" s="250"/>
      <c r="AO4" s="1043" t="s">
        <v>912</v>
      </c>
      <c r="AP4" s="1044"/>
    </row>
    <row r="5" spans="1:50" s="245" customFormat="1" ht="65.25" x14ac:dyDescent="0.3">
      <c r="E5" s="291" t="s">
        <v>218</v>
      </c>
      <c r="F5" s="291"/>
      <c r="G5" s="242" t="s">
        <v>217</v>
      </c>
      <c r="H5" s="247" t="s">
        <v>216</v>
      </c>
      <c r="I5" s="291"/>
      <c r="J5" s="242" t="s">
        <v>213</v>
      </c>
      <c r="K5" s="241" t="s">
        <v>215</v>
      </c>
      <c r="L5" s="1045" t="s">
        <v>214</v>
      </c>
      <c r="M5" s="1045"/>
      <c r="N5" s="291"/>
      <c r="O5" s="242" t="s">
        <v>213</v>
      </c>
      <c r="P5" s="241" t="s">
        <v>212</v>
      </c>
      <c r="Q5" s="241" t="s">
        <v>211</v>
      </c>
      <c r="R5" s="241" t="s">
        <v>210</v>
      </c>
      <c r="S5" s="291"/>
      <c r="T5" s="247" t="s">
        <v>209</v>
      </c>
      <c r="U5" s="246"/>
      <c r="W5" s="292" t="s">
        <v>658</v>
      </c>
      <c r="X5" s="240"/>
      <c r="Y5" s="241" t="s">
        <v>208</v>
      </c>
      <c r="Z5" s="241" t="s">
        <v>207</v>
      </c>
      <c r="AA5" s="242" t="s">
        <v>206</v>
      </c>
      <c r="AB5" s="1046" t="s">
        <v>659</v>
      </c>
      <c r="AC5" s="1046"/>
      <c r="AD5" s="291"/>
      <c r="AE5" s="241" t="s">
        <v>205</v>
      </c>
      <c r="AF5" s="1046" t="s">
        <v>909</v>
      </c>
      <c r="AG5" s="1046"/>
      <c r="AH5" s="240"/>
      <c r="AI5" s="1046" t="s">
        <v>238</v>
      </c>
      <c r="AJ5" s="1047"/>
      <c r="AK5" s="282"/>
      <c r="AL5" s="1046" t="s">
        <v>923</v>
      </c>
      <c r="AM5" s="1047"/>
      <c r="AN5" s="282"/>
      <c r="AO5" s="1046" t="s">
        <v>660</v>
      </c>
      <c r="AP5" s="1046"/>
      <c r="AQ5" s="291"/>
    </row>
    <row r="6" spans="1:50" s="169" customFormat="1" ht="26.25" x14ac:dyDescent="0.25">
      <c r="E6" s="240" t="s">
        <v>204</v>
      </c>
      <c r="F6" s="240"/>
      <c r="G6" s="242" t="s">
        <v>204</v>
      </c>
      <c r="H6" s="244" t="s">
        <v>204</v>
      </c>
      <c r="I6" s="240"/>
      <c r="J6" s="242" t="s">
        <v>204</v>
      </c>
      <c r="K6" s="241" t="s">
        <v>204</v>
      </c>
      <c r="L6" s="240" t="s">
        <v>204</v>
      </c>
      <c r="M6" s="240" t="s">
        <v>203</v>
      </c>
      <c r="N6" s="240"/>
      <c r="O6" s="242" t="s">
        <v>204</v>
      </c>
      <c r="P6" s="241" t="s">
        <v>204</v>
      </c>
      <c r="Q6" s="241" t="s">
        <v>204</v>
      </c>
      <c r="R6" s="241" t="s">
        <v>204</v>
      </c>
      <c r="S6" s="240"/>
      <c r="T6" s="244" t="s">
        <v>204</v>
      </c>
      <c r="U6" s="243" t="s">
        <v>203</v>
      </c>
      <c r="W6" s="239" t="s">
        <v>204</v>
      </c>
      <c r="X6" s="240"/>
      <c r="Y6" s="241" t="s">
        <v>204</v>
      </c>
      <c r="Z6" s="241" t="s">
        <v>204</v>
      </c>
      <c r="AA6" s="242" t="s">
        <v>204</v>
      </c>
      <c r="AB6" s="239" t="s">
        <v>204</v>
      </c>
      <c r="AC6" s="239" t="s">
        <v>203</v>
      </c>
      <c r="AD6" s="240"/>
      <c r="AE6" s="241" t="s">
        <v>204</v>
      </c>
      <c r="AF6" s="239" t="s">
        <v>204</v>
      </c>
      <c r="AG6" s="239" t="s">
        <v>203</v>
      </c>
      <c r="AH6" s="240"/>
      <c r="AI6" s="239" t="s">
        <v>204</v>
      </c>
      <c r="AJ6" s="239" t="s">
        <v>203</v>
      </c>
      <c r="AK6" s="240"/>
      <c r="AL6" s="239" t="s">
        <v>204</v>
      </c>
      <c r="AM6" s="239" t="s">
        <v>203</v>
      </c>
      <c r="AN6" s="240"/>
      <c r="AO6" s="239" t="s">
        <v>204</v>
      </c>
      <c r="AP6" s="239" t="s">
        <v>203</v>
      </c>
      <c r="AQ6" s="238"/>
      <c r="AS6" s="169" t="s">
        <v>661</v>
      </c>
    </row>
    <row r="7" spans="1:50" s="169" customFormat="1" ht="6" customHeight="1" x14ac:dyDescent="0.25">
      <c r="G7" s="187"/>
      <c r="H7" s="189"/>
      <c r="J7" s="187"/>
      <c r="K7" s="186"/>
      <c r="O7" s="187"/>
      <c r="P7" s="186"/>
      <c r="Q7" s="186"/>
      <c r="R7" s="186"/>
      <c r="T7" s="189"/>
      <c r="Y7" s="186"/>
      <c r="Z7" s="186"/>
      <c r="AA7" s="187"/>
      <c r="AE7" s="186"/>
    </row>
    <row r="8" spans="1:50" s="169" customFormat="1" ht="20.100000000000001" customHeight="1" x14ac:dyDescent="0.25">
      <c r="A8" s="216" t="s">
        <v>202</v>
      </c>
      <c r="G8" s="187"/>
      <c r="H8" s="189"/>
      <c r="J8" s="187"/>
      <c r="K8" s="186"/>
      <c r="O8" s="187"/>
      <c r="P8" s="186"/>
      <c r="Q8" s="186"/>
      <c r="R8" s="186"/>
      <c r="T8" s="189"/>
      <c r="Y8" s="186"/>
      <c r="Z8" s="186"/>
      <c r="AA8" s="187"/>
      <c r="AE8" s="186"/>
      <c r="AS8" s="391" t="s">
        <v>662</v>
      </c>
      <c r="AT8" s="391" t="s">
        <v>663</v>
      </c>
      <c r="AU8" s="391" t="s">
        <v>664</v>
      </c>
      <c r="AV8" s="391" t="s">
        <v>665</v>
      </c>
      <c r="AW8" s="391" t="s">
        <v>666</v>
      </c>
      <c r="AX8" s="391"/>
    </row>
    <row r="9" spans="1:50" s="169" customFormat="1" ht="20.100000000000001" customHeight="1" x14ac:dyDescent="0.25">
      <c r="B9" s="234" t="s">
        <v>201</v>
      </c>
      <c r="C9" s="212"/>
      <c r="D9" s="212"/>
      <c r="E9" s="210">
        <f>218451900+21786300</f>
        <v>240238200</v>
      </c>
      <c r="F9" s="212"/>
      <c r="G9" s="211">
        <v>-18756300</v>
      </c>
      <c r="H9" s="210">
        <f t="shared" ref="H9:H22" si="0">+E9+G9</f>
        <v>221481900</v>
      </c>
      <c r="I9" s="212"/>
      <c r="J9" s="211">
        <v>-7069900</v>
      </c>
      <c r="K9" s="211"/>
      <c r="L9" s="211">
        <f t="shared" ref="L9:L22" si="1">SUM(J9:K9)</f>
        <v>-7069900</v>
      </c>
      <c r="M9" s="237">
        <f t="shared" ref="M9:M22" si="2">L9/$E9</f>
        <v>-2.9428708673308407E-2</v>
      </c>
      <c r="N9" s="212"/>
      <c r="O9" s="211"/>
      <c r="P9" s="211"/>
      <c r="Q9" s="211"/>
      <c r="R9" s="211"/>
      <c r="S9" s="212"/>
      <c r="T9" s="210">
        <f t="shared" ref="T9:T22" si="3">SUM(O9:R9)</f>
        <v>0</v>
      </c>
      <c r="U9" s="213">
        <f t="shared" ref="U9:U22" si="4">T9/$E9</f>
        <v>0</v>
      </c>
      <c r="V9" s="212"/>
      <c r="W9" s="210">
        <v>327179000</v>
      </c>
      <c r="X9" s="233"/>
      <c r="Y9" s="233">
        <f>8483900-6700+3400</f>
        <v>8480600</v>
      </c>
      <c r="Z9" s="233">
        <f>647200+1125000-250000</f>
        <v>1522200</v>
      </c>
      <c r="AA9" s="233">
        <v>-56000</v>
      </c>
      <c r="AB9" s="210">
        <f>2381110</f>
        <v>2381110</v>
      </c>
      <c r="AC9" s="232">
        <f t="shared" ref="AC9:AC22" si="5">+AB9/$W9</f>
        <v>7.2776981407730937E-3</v>
      </c>
      <c r="AD9" s="209"/>
      <c r="AE9" s="211">
        <v>-1468500</v>
      </c>
      <c r="AF9" s="210">
        <f>532288</f>
        <v>532288</v>
      </c>
      <c r="AG9" s="232">
        <f t="shared" ref="AG9:AG22" si="6">+AF9/$W9</f>
        <v>1.6269014820633353E-3</v>
      </c>
      <c r="AH9" s="211"/>
      <c r="AI9" s="392">
        <v>574700</v>
      </c>
      <c r="AJ9" s="232">
        <f t="shared" ref="AJ9:AJ22" si="7">+AI9/$W9</f>
        <v>1.7565308286901053E-3</v>
      </c>
      <c r="AK9" s="232"/>
      <c r="AL9" s="890">
        <v>40500</v>
      </c>
      <c r="AM9" s="232">
        <f t="shared" ref="AM9:AM22" si="8">+AL9/$W9</f>
        <v>1.2378545077770884E-4</v>
      </c>
      <c r="AN9" s="232"/>
      <c r="AO9" s="210">
        <f t="shared" ref="AO9:AO22" si="9">+AF9+AB9+AI9+AL9</f>
        <v>3528598</v>
      </c>
      <c r="AP9" s="232">
        <f t="shared" ref="AP9:AP22" si="10">+AO9/$W9</f>
        <v>1.0784915902304243E-2</v>
      </c>
      <c r="AR9" s="227"/>
      <c r="AS9" s="393">
        <v>268102300</v>
      </c>
      <c r="AT9" s="393">
        <v>298000000</v>
      </c>
      <c r="AU9" s="394">
        <f>+AT9/(AT9+AS9)</f>
        <v>0.52640662297256169</v>
      </c>
      <c r="AV9" s="393">
        <f>192374+455686+1526</f>
        <v>649586</v>
      </c>
      <c r="AW9" s="393">
        <f>+AV9*AU9</f>
        <v>341946.37259025447</v>
      </c>
    </row>
    <row r="10" spans="1:50" s="169" customFormat="1" ht="20.100000000000001" customHeight="1" x14ac:dyDescent="0.25">
      <c r="B10" s="190" t="s">
        <v>200</v>
      </c>
      <c r="E10" s="201">
        <f>134722200+13377600</f>
        <v>148099800</v>
      </c>
      <c r="G10" s="204">
        <v>-12915300</v>
      </c>
      <c r="H10" s="206">
        <f t="shared" si="0"/>
        <v>135184500</v>
      </c>
      <c r="J10" s="204">
        <v>-4200500</v>
      </c>
      <c r="K10" s="203"/>
      <c r="L10" s="201">
        <f t="shared" si="1"/>
        <v>-4200500</v>
      </c>
      <c r="M10" s="207">
        <f t="shared" si="2"/>
        <v>-2.8362631144674064E-2</v>
      </c>
      <c r="O10" s="204"/>
      <c r="P10" s="203"/>
      <c r="Q10" s="203"/>
      <c r="R10" s="203"/>
      <c r="T10" s="206">
        <f t="shared" si="3"/>
        <v>0</v>
      </c>
      <c r="U10" s="205">
        <f t="shared" si="4"/>
        <v>0</v>
      </c>
      <c r="W10" s="201">
        <f>SUM(W11:W16)</f>
        <v>154226000</v>
      </c>
      <c r="X10" s="231"/>
      <c r="Y10" s="236">
        <v>5918900</v>
      </c>
      <c r="Z10" s="236">
        <f>90400+13900</f>
        <v>104300</v>
      </c>
      <c r="AA10" s="235"/>
      <c r="AB10" s="201">
        <f>SUM(AB11:AB16)</f>
        <v>1089362</v>
      </c>
      <c r="AC10" s="230">
        <f t="shared" si="5"/>
        <v>7.0634134322358098E-3</v>
      </c>
      <c r="AD10" s="202"/>
      <c r="AE10" s="203">
        <v>-265100</v>
      </c>
      <c r="AF10" s="201">
        <f>SUM(AF11:AF16)</f>
        <v>354172.65999999992</v>
      </c>
      <c r="AG10" s="230">
        <f t="shared" si="6"/>
        <v>2.2964523491499481E-3</v>
      </c>
      <c r="AH10" s="201"/>
      <c r="AI10" s="201">
        <f>SUM(AI11:AI16)</f>
        <v>233000</v>
      </c>
      <c r="AJ10" s="230">
        <f t="shared" si="7"/>
        <v>1.5107699090944459E-3</v>
      </c>
      <c r="AK10" s="230"/>
      <c r="AL10" s="201">
        <f>SUM(AL11:AL16)</f>
        <v>83200</v>
      </c>
      <c r="AM10" s="230">
        <f t="shared" si="8"/>
        <v>5.3946805337621413E-4</v>
      </c>
      <c r="AN10" s="230"/>
      <c r="AO10" s="393">
        <f t="shared" si="9"/>
        <v>1759734.66</v>
      </c>
      <c r="AP10" s="230">
        <f t="shared" si="10"/>
        <v>1.1410103743856419E-2</v>
      </c>
      <c r="AR10" s="227"/>
      <c r="AS10" s="393">
        <v>153005600</v>
      </c>
      <c r="AT10" s="393">
        <v>123318000</v>
      </c>
      <c r="AU10" s="394">
        <f t="shared" ref="AU10:AU22" si="11">+AT10/(AT10+AS10)</f>
        <v>0.44628109940663774</v>
      </c>
      <c r="AV10" s="393">
        <f>95813+166858+12619</f>
        <v>275290</v>
      </c>
      <c r="AW10" s="393">
        <f t="shared" ref="AW10:AW22" si="12">+AV10*AU10</f>
        <v>122856.7238556533</v>
      </c>
    </row>
    <row r="11" spans="1:50" s="169" customFormat="1" ht="20.100000000000001" customHeight="1" x14ac:dyDescent="0.25">
      <c r="B11" s="190"/>
      <c r="C11" s="169" t="s">
        <v>914</v>
      </c>
      <c r="E11" s="201"/>
      <c r="G11" s="204"/>
      <c r="H11" s="206"/>
      <c r="J11" s="204"/>
      <c r="K11" s="203"/>
      <c r="L11" s="201"/>
      <c r="M11" s="207"/>
      <c r="O11" s="204"/>
      <c r="P11" s="203"/>
      <c r="Q11" s="203"/>
      <c r="R11" s="203"/>
      <c r="T11" s="206"/>
      <c r="U11" s="205"/>
      <c r="W11" s="201">
        <f>121479000+1839000</f>
        <v>123318000</v>
      </c>
      <c r="X11" s="231"/>
      <c r="Y11" s="236"/>
      <c r="Z11" s="236"/>
      <c r="AA11" s="235"/>
      <c r="AB11" s="201">
        <v>920635</v>
      </c>
      <c r="AC11" s="230">
        <f t="shared" si="5"/>
        <v>7.4655362558588368E-3</v>
      </c>
      <c r="AD11" s="202"/>
      <c r="AE11" s="203"/>
      <c r="AF11" s="201">
        <v>305048.09999999998</v>
      </c>
      <c r="AG11" s="230">
        <f t="shared" si="6"/>
        <v>2.4736705103877779E-3</v>
      </c>
      <c r="AH11" s="201"/>
      <c r="AI11" s="201">
        <f>299400-69500</f>
        <v>229900</v>
      </c>
      <c r="AJ11" s="230">
        <f t="shared" si="7"/>
        <v>1.8642858301302324E-3</v>
      </c>
      <c r="AK11" s="230"/>
      <c r="AL11" s="201">
        <v>83200</v>
      </c>
      <c r="AM11" s="230">
        <f t="shared" si="8"/>
        <v>6.7467847353995362E-4</v>
      </c>
      <c r="AN11" s="230"/>
      <c r="AO11" s="393">
        <f t="shared" ref="AO11:AO16" si="13">+AF11+AB11+AI11+AL11</f>
        <v>1538783.1</v>
      </c>
      <c r="AP11" s="230">
        <f t="shared" ref="AP11:AP16" si="14">+AO11/$W11</f>
        <v>1.2478171069916801E-2</v>
      </c>
      <c r="AR11" s="227"/>
      <c r="AS11" s="393"/>
      <c r="AT11" s="393"/>
      <c r="AU11" s="394"/>
      <c r="AV11" s="393"/>
      <c r="AW11" s="393"/>
    </row>
    <row r="12" spans="1:50" s="169" customFormat="1" ht="20.100000000000001" customHeight="1" x14ac:dyDescent="0.25">
      <c r="B12" s="190"/>
      <c r="C12" s="169" t="s">
        <v>915</v>
      </c>
      <c r="E12" s="201"/>
      <c r="G12" s="204"/>
      <c r="H12" s="206"/>
      <c r="J12" s="204"/>
      <c r="K12" s="203"/>
      <c r="L12" s="201"/>
      <c r="M12" s="207"/>
      <c r="O12" s="204"/>
      <c r="P12" s="203"/>
      <c r="Q12" s="203"/>
      <c r="R12" s="203"/>
      <c r="T12" s="206"/>
      <c r="U12" s="205"/>
      <c r="W12" s="201">
        <v>3150000</v>
      </c>
      <c r="X12" s="231"/>
      <c r="Y12" s="236"/>
      <c r="Z12" s="236"/>
      <c r="AA12" s="235"/>
      <c r="AB12" s="201">
        <v>49052</v>
      </c>
      <c r="AC12" s="230">
        <f t="shared" si="5"/>
        <v>1.5572063492063491E-2</v>
      </c>
      <c r="AD12" s="202"/>
      <c r="AE12" s="203"/>
      <c r="AF12" s="201">
        <v>15852.49</v>
      </c>
      <c r="AG12" s="230">
        <f t="shared" si="6"/>
        <v>5.0325365079365077E-3</v>
      </c>
      <c r="AH12" s="201"/>
      <c r="AI12" s="201">
        <v>3100</v>
      </c>
      <c r="AJ12" s="230">
        <f t="shared" si="7"/>
        <v>9.8412698412698421E-4</v>
      </c>
      <c r="AK12" s="230"/>
      <c r="AL12" s="201">
        <v>0</v>
      </c>
      <c r="AM12" s="230">
        <f t="shared" si="8"/>
        <v>0</v>
      </c>
      <c r="AN12" s="230"/>
      <c r="AO12" s="393">
        <f t="shared" si="13"/>
        <v>68004.489999999991</v>
      </c>
      <c r="AP12" s="230">
        <f t="shared" si="14"/>
        <v>2.158872698412698E-2</v>
      </c>
      <c r="AR12" s="227"/>
      <c r="AS12" s="393"/>
      <c r="AT12" s="393"/>
      <c r="AU12" s="394"/>
      <c r="AV12" s="393"/>
      <c r="AW12" s="393"/>
    </row>
    <row r="13" spans="1:50" s="169" customFormat="1" ht="20.100000000000001" customHeight="1" x14ac:dyDescent="0.25">
      <c r="B13" s="190"/>
      <c r="C13" s="169" t="s">
        <v>916</v>
      </c>
      <c r="E13" s="201"/>
      <c r="G13" s="204"/>
      <c r="H13" s="206"/>
      <c r="J13" s="204"/>
      <c r="K13" s="203"/>
      <c r="L13" s="201"/>
      <c r="M13" s="207"/>
      <c r="O13" s="204"/>
      <c r="P13" s="203"/>
      <c r="Q13" s="203"/>
      <c r="R13" s="203"/>
      <c r="T13" s="206"/>
      <c r="U13" s="205"/>
      <c r="W13" s="201">
        <v>4030000</v>
      </c>
      <c r="X13" s="231"/>
      <c r="Y13" s="236"/>
      <c r="Z13" s="236"/>
      <c r="AA13" s="235"/>
      <c r="AB13" s="201">
        <v>30471.5</v>
      </c>
      <c r="AC13" s="230">
        <f t="shared" si="5"/>
        <v>7.5611662531017369E-3</v>
      </c>
      <c r="AD13" s="202"/>
      <c r="AE13" s="203"/>
      <c r="AF13" s="201">
        <v>9448.2000000000007</v>
      </c>
      <c r="AG13" s="230">
        <f t="shared" si="6"/>
        <v>2.3444665012406951E-3</v>
      </c>
      <c r="AH13" s="201"/>
      <c r="AI13" s="201">
        <v>0</v>
      </c>
      <c r="AJ13" s="230">
        <f t="shared" si="7"/>
        <v>0</v>
      </c>
      <c r="AK13" s="230"/>
      <c r="AL13" s="201">
        <v>0</v>
      </c>
      <c r="AM13" s="230">
        <f t="shared" si="8"/>
        <v>0</v>
      </c>
      <c r="AN13" s="230"/>
      <c r="AO13" s="393">
        <f t="shared" si="13"/>
        <v>39919.699999999997</v>
      </c>
      <c r="AP13" s="230">
        <f t="shared" si="14"/>
        <v>9.9056327543424316E-3</v>
      </c>
      <c r="AR13" s="227"/>
      <c r="AS13" s="393"/>
      <c r="AT13" s="393"/>
      <c r="AU13" s="394"/>
      <c r="AV13" s="393"/>
      <c r="AW13" s="393"/>
    </row>
    <row r="14" spans="1:50" s="169" customFormat="1" ht="20.100000000000001" customHeight="1" x14ac:dyDescent="0.25">
      <c r="B14" s="190"/>
      <c r="C14" s="169" t="s">
        <v>917</v>
      </c>
      <c r="E14" s="201"/>
      <c r="G14" s="204"/>
      <c r="H14" s="206"/>
      <c r="J14" s="204"/>
      <c r="K14" s="203"/>
      <c r="L14" s="201"/>
      <c r="M14" s="207"/>
      <c r="O14" s="204"/>
      <c r="P14" s="203"/>
      <c r="Q14" s="203"/>
      <c r="R14" s="203"/>
      <c r="T14" s="206"/>
      <c r="U14" s="205"/>
      <c r="W14" s="201">
        <v>12986000</v>
      </c>
      <c r="X14" s="231"/>
      <c r="Y14" s="236"/>
      <c r="Z14" s="236"/>
      <c r="AA14" s="235"/>
      <c r="AB14" s="201">
        <v>37140.5</v>
      </c>
      <c r="AC14" s="230">
        <f t="shared" si="5"/>
        <v>2.8600415832434928E-3</v>
      </c>
      <c r="AD14" s="202"/>
      <c r="AE14" s="203"/>
      <c r="AF14" s="201">
        <v>8726.1</v>
      </c>
      <c r="AG14" s="230">
        <f t="shared" si="6"/>
        <v>6.7196211304481755E-4</v>
      </c>
      <c r="AH14" s="201"/>
      <c r="AI14" s="201">
        <v>0</v>
      </c>
      <c r="AJ14" s="230">
        <f t="shared" si="7"/>
        <v>0</v>
      </c>
      <c r="AK14" s="230"/>
      <c r="AL14" s="201">
        <v>0</v>
      </c>
      <c r="AM14" s="230">
        <f t="shared" si="8"/>
        <v>0</v>
      </c>
      <c r="AN14" s="230"/>
      <c r="AO14" s="393">
        <f t="shared" si="13"/>
        <v>45866.6</v>
      </c>
      <c r="AP14" s="230">
        <f t="shared" si="14"/>
        <v>3.5320036962883106E-3</v>
      </c>
      <c r="AR14" s="227"/>
      <c r="AS14" s="393"/>
      <c r="AT14" s="393"/>
      <c r="AU14" s="394"/>
      <c r="AV14" s="393"/>
      <c r="AW14" s="393"/>
    </row>
    <row r="15" spans="1:50" s="169" customFormat="1" ht="20.100000000000001" customHeight="1" x14ac:dyDescent="0.25">
      <c r="B15" s="190"/>
      <c r="C15" s="169" t="s">
        <v>918</v>
      </c>
      <c r="E15" s="201"/>
      <c r="G15" s="204"/>
      <c r="H15" s="206"/>
      <c r="J15" s="204"/>
      <c r="K15" s="203"/>
      <c r="L15" s="201"/>
      <c r="M15" s="207"/>
      <c r="O15" s="204"/>
      <c r="P15" s="203"/>
      <c r="Q15" s="203"/>
      <c r="R15" s="203"/>
      <c r="T15" s="206"/>
      <c r="U15" s="205"/>
      <c r="W15" s="201">
        <v>9412000</v>
      </c>
      <c r="X15" s="231"/>
      <c r="Y15" s="236"/>
      <c r="Z15" s="236"/>
      <c r="AA15" s="235"/>
      <c r="AB15" s="201">
        <v>37161.5</v>
      </c>
      <c r="AC15" s="230">
        <f t="shared" si="5"/>
        <v>3.948310667233319E-3</v>
      </c>
      <c r="AD15" s="202"/>
      <c r="AE15" s="203"/>
      <c r="AF15" s="201">
        <v>10411.73</v>
      </c>
      <c r="AG15" s="230">
        <f t="shared" si="6"/>
        <v>1.1062186570335742E-3</v>
      </c>
      <c r="AH15" s="201"/>
      <c r="AI15" s="201">
        <v>0</v>
      </c>
      <c r="AJ15" s="230">
        <f t="shared" si="7"/>
        <v>0</v>
      </c>
      <c r="AK15" s="230"/>
      <c r="AL15" s="201">
        <v>0</v>
      </c>
      <c r="AM15" s="230">
        <f t="shared" si="8"/>
        <v>0</v>
      </c>
      <c r="AN15" s="230"/>
      <c r="AO15" s="393">
        <f t="shared" si="13"/>
        <v>47573.229999999996</v>
      </c>
      <c r="AP15" s="230">
        <f t="shared" si="14"/>
        <v>5.0545293242668932E-3</v>
      </c>
      <c r="AR15" s="227"/>
      <c r="AS15" s="393"/>
      <c r="AT15" s="393"/>
      <c r="AU15" s="394"/>
      <c r="AV15" s="393"/>
      <c r="AW15" s="393"/>
    </row>
    <row r="16" spans="1:50" s="169" customFormat="1" ht="20.100000000000001" customHeight="1" x14ac:dyDescent="0.25">
      <c r="B16" s="190"/>
      <c r="C16" s="169" t="s">
        <v>919</v>
      </c>
      <c r="E16" s="201"/>
      <c r="G16" s="204"/>
      <c r="H16" s="206"/>
      <c r="J16" s="204"/>
      <c r="K16" s="203"/>
      <c r="L16" s="201"/>
      <c r="M16" s="207"/>
      <c r="O16" s="204"/>
      <c r="P16" s="203"/>
      <c r="Q16" s="203"/>
      <c r="R16" s="203"/>
      <c r="T16" s="206"/>
      <c r="U16" s="205"/>
      <c r="W16" s="201">
        <v>1330000</v>
      </c>
      <c r="X16" s="231"/>
      <c r="Y16" s="236"/>
      <c r="Z16" s="236"/>
      <c r="AA16" s="235"/>
      <c r="AB16" s="201">
        <v>14901.5</v>
      </c>
      <c r="AC16" s="230">
        <f t="shared" si="5"/>
        <v>1.1204135338345864E-2</v>
      </c>
      <c r="AD16" s="202"/>
      <c r="AE16" s="203"/>
      <c r="AF16" s="201">
        <v>4686.04</v>
      </c>
      <c r="AG16" s="230">
        <f t="shared" si="6"/>
        <v>3.5233383458646616E-3</v>
      </c>
      <c r="AH16" s="201"/>
      <c r="AI16" s="201">
        <v>0</v>
      </c>
      <c r="AJ16" s="230">
        <f t="shared" si="7"/>
        <v>0</v>
      </c>
      <c r="AK16" s="230"/>
      <c r="AL16" s="201">
        <v>0</v>
      </c>
      <c r="AM16" s="230">
        <f t="shared" si="8"/>
        <v>0</v>
      </c>
      <c r="AN16" s="230"/>
      <c r="AO16" s="393">
        <f t="shared" si="13"/>
        <v>19587.54</v>
      </c>
      <c r="AP16" s="230">
        <f t="shared" si="14"/>
        <v>1.4727473684210526E-2</v>
      </c>
      <c r="AR16" s="227"/>
      <c r="AS16" s="393"/>
      <c r="AT16" s="393"/>
      <c r="AU16" s="394"/>
      <c r="AV16" s="393"/>
      <c r="AW16" s="393"/>
    </row>
    <row r="17" spans="1:49" s="169" customFormat="1" ht="20.100000000000001" customHeight="1" x14ac:dyDescent="0.25">
      <c r="B17" s="234" t="s">
        <v>199</v>
      </c>
      <c r="C17" s="212"/>
      <c r="D17" s="212"/>
      <c r="E17" s="211">
        <f>59927900+5954100</f>
        <v>65882000</v>
      </c>
      <c r="F17" s="212"/>
      <c r="G17" s="211">
        <v>-5740200</v>
      </c>
      <c r="H17" s="211">
        <f t="shared" si="0"/>
        <v>60141800</v>
      </c>
      <c r="I17" s="212"/>
      <c r="J17" s="211">
        <v>-1953300</v>
      </c>
      <c r="K17" s="211"/>
      <c r="L17" s="211">
        <f t="shared" si="1"/>
        <v>-1953300</v>
      </c>
      <c r="M17" s="215">
        <f t="shared" si="2"/>
        <v>-2.9648462402477156E-2</v>
      </c>
      <c r="N17" s="212"/>
      <c r="O17" s="211"/>
      <c r="P17" s="211"/>
      <c r="Q17" s="211"/>
      <c r="R17" s="211"/>
      <c r="S17" s="212"/>
      <c r="T17" s="211">
        <f t="shared" si="3"/>
        <v>0</v>
      </c>
      <c r="U17" s="213">
        <f t="shared" si="4"/>
        <v>0</v>
      </c>
      <c r="V17" s="212"/>
      <c r="W17" s="211">
        <v>75173179</v>
      </c>
      <c r="X17" s="233"/>
      <c r="Y17" s="233">
        <v>2685300</v>
      </c>
      <c r="Z17" s="233">
        <v>971600</v>
      </c>
      <c r="AA17" s="233">
        <v>0</v>
      </c>
      <c r="AB17" s="211">
        <v>589336</v>
      </c>
      <c r="AC17" s="232">
        <f t="shared" si="5"/>
        <v>7.8397110224645416E-3</v>
      </c>
      <c r="AD17" s="209"/>
      <c r="AE17" s="211">
        <v>-189300</v>
      </c>
      <c r="AF17" s="211">
        <v>184767</v>
      </c>
      <c r="AG17" s="232">
        <f t="shared" si="6"/>
        <v>2.457884613340617E-3</v>
      </c>
      <c r="AH17" s="211"/>
      <c r="AI17" s="211">
        <v>79900</v>
      </c>
      <c r="AJ17" s="232">
        <f t="shared" si="7"/>
        <v>1.0628790888303394E-3</v>
      </c>
      <c r="AK17" s="232"/>
      <c r="AL17" s="211">
        <v>69500</v>
      </c>
      <c r="AM17" s="232">
        <f t="shared" si="8"/>
        <v>9.2453187326293595E-4</v>
      </c>
      <c r="AN17" s="232"/>
      <c r="AO17" s="890">
        <f t="shared" si="9"/>
        <v>923503</v>
      </c>
      <c r="AP17" s="232">
        <f t="shared" si="10"/>
        <v>1.2285006597898433E-2</v>
      </c>
      <c r="AR17" s="227"/>
      <c r="AS17" s="393">
        <v>90459300</v>
      </c>
      <c r="AT17" s="393">
        <v>75459100</v>
      </c>
      <c r="AU17" s="394">
        <f t="shared" si="11"/>
        <v>0.45479645416059944</v>
      </c>
      <c r="AV17" s="393">
        <f>39988+54738+1306</f>
        <v>96032</v>
      </c>
      <c r="AW17" s="393">
        <f t="shared" si="12"/>
        <v>43675.013085950683</v>
      </c>
    </row>
    <row r="18" spans="1:49" s="169" customFormat="1" ht="20.100000000000001" customHeight="1" x14ac:dyDescent="0.25">
      <c r="B18" s="190" t="s">
        <v>198</v>
      </c>
      <c r="E18" s="201">
        <f>28468300+2825800</f>
        <v>31294100</v>
      </c>
      <c r="G18" s="204">
        <v>-2429500</v>
      </c>
      <c r="H18" s="206">
        <f t="shared" si="0"/>
        <v>28864600</v>
      </c>
      <c r="J18" s="204">
        <v>-890400</v>
      </c>
      <c r="K18" s="203"/>
      <c r="L18" s="201">
        <f t="shared" si="1"/>
        <v>-890400</v>
      </c>
      <c r="M18" s="207">
        <f t="shared" si="2"/>
        <v>-2.8452647623673472E-2</v>
      </c>
      <c r="O18" s="204"/>
      <c r="P18" s="203"/>
      <c r="Q18" s="203"/>
      <c r="R18" s="203"/>
      <c r="T18" s="206">
        <f t="shared" si="3"/>
        <v>0</v>
      </c>
      <c r="U18" s="205">
        <f t="shared" si="4"/>
        <v>0</v>
      </c>
      <c r="W18" s="201">
        <v>48208000</v>
      </c>
      <c r="X18" s="231"/>
      <c r="Y18" s="236">
        <v>1193700</v>
      </c>
      <c r="Z18" s="236">
        <v>6500</v>
      </c>
      <c r="AA18" s="235">
        <v>-1400</v>
      </c>
      <c r="AB18" s="201">
        <v>304517</v>
      </c>
      <c r="AC18" s="230">
        <f t="shared" si="5"/>
        <v>6.316731662794557E-3</v>
      </c>
      <c r="AD18" s="202"/>
      <c r="AE18" s="203">
        <v>-50300</v>
      </c>
      <c r="AF18" s="201">
        <v>85739</v>
      </c>
      <c r="AG18" s="230">
        <f t="shared" si="6"/>
        <v>1.7785222369731165E-3</v>
      </c>
      <c r="AH18" s="201"/>
      <c r="AI18" s="201">
        <v>58200</v>
      </c>
      <c r="AJ18" s="230">
        <f t="shared" si="7"/>
        <v>1.2072685031530037E-3</v>
      </c>
      <c r="AK18" s="230"/>
      <c r="AL18" s="201">
        <v>94100</v>
      </c>
      <c r="AM18" s="230">
        <f t="shared" si="8"/>
        <v>1.9519581812147361E-3</v>
      </c>
      <c r="AN18" s="230"/>
      <c r="AO18" s="393">
        <f t="shared" si="9"/>
        <v>542556</v>
      </c>
      <c r="AP18" s="230">
        <f t="shared" si="10"/>
        <v>1.1254480584135413E-2</v>
      </c>
      <c r="AR18" s="227"/>
      <c r="AS18" s="393">
        <v>42472700</v>
      </c>
      <c r="AT18" s="393">
        <v>48208000</v>
      </c>
      <c r="AU18" s="394">
        <f t="shared" si="11"/>
        <v>0.53162359796516789</v>
      </c>
      <c r="AV18" s="393">
        <f>20953+42154+1385</f>
        <v>64492</v>
      </c>
      <c r="AW18" s="393">
        <f t="shared" si="12"/>
        <v>34285.469079969611</v>
      </c>
    </row>
    <row r="19" spans="1:49" s="169" customFormat="1" ht="20.100000000000001" customHeight="1" x14ac:dyDescent="0.25">
      <c r="B19" s="234" t="s">
        <v>197</v>
      </c>
      <c r="C19" s="212"/>
      <c r="D19" s="212"/>
      <c r="E19" s="211">
        <f>18628300+1869000</f>
        <v>20497300</v>
      </c>
      <c r="F19" s="212"/>
      <c r="G19" s="211">
        <v>-1466100</v>
      </c>
      <c r="H19" s="211">
        <f t="shared" si="0"/>
        <v>19031200</v>
      </c>
      <c r="I19" s="212"/>
      <c r="J19" s="211">
        <v>-431400</v>
      </c>
      <c r="K19" s="211"/>
      <c r="L19" s="211">
        <f t="shared" si="1"/>
        <v>-431400</v>
      </c>
      <c r="M19" s="215">
        <f t="shared" si="2"/>
        <v>-2.1046674440048201E-2</v>
      </c>
      <c r="N19" s="212"/>
      <c r="O19" s="211"/>
      <c r="P19" s="211"/>
      <c r="Q19" s="211"/>
      <c r="R19" s="211"/>
      <c r="S19" s="212"/>
      <c r="T19" s="211">
        <f t="shared" si="3"/>
        <v>0</v>
      </c>
      <c r="U19" s="213">
        <f t="shared" si="4"/>
        <v>0</v>
      </c>
      <c r="V19" s="212"/>
      <c r="W19" s="211">
        <v>11856090</v>
      </c>
      <c r="X19" s="233"/>
      <c r="Y19" s="233">
        <v>608300</v>
      </c>
      <c r="Z19" s="233">
        <f>0</f>
        <v>0</v>
      </c>
      <c r="AA19" s="233">
        <v>-100</v>
      </c>
      <c r="AB19" s="211">
        <v>121296</v>
      </c>
      <c r="AC19" s="232">
        <f t="shared" si="5"/>
        <v>1.0230691568636877E-2</v>
      </c>
      <c r="AD19" s="209"/>
      <c r="AE19" s="211">
        <v>-463800</v>
      </c>
      <c r="AF19" s="211">
        <v>44375</v>
      </c>
      <c r="AG19" s="232">
        <f t="shared" si="6"/>
        <v>3.742802222317813E-3</v>
      </c>
      <c r="AH19" s="211"/>
      <c r="AI19" s="211">
        <v>14200</v>
      </c>
      <c r="AJ19" s="232">
        <f t="shared" si="7"/>
        <v>1.1976967111417003E-3</v>
      </c>
      <c r="AK19" s="232"/>
      <c r="AL19" s="211">
        <v>11600</v>
      </c>
      <c r="AM19" s="232">
        <f t="shared" si="8"/>
        <v>9.7840013022843105E-4</v>
      </c>
      <c r="AN19" s="232"/>
      <c r="AO19" s="890">
        <f t="shared" si="9"/>
        <v>191471</v>
      </c>
      <c r="AP19" s="232">
        <f t="shared" si="10"/>
        <v>1.6149590632324823E-2</v>
      </c>
      <c r="AR19" s="227"/>
      <c r="AS19" s="393">
        <v>31506000</v>
      </c>
      <c r="AT19" s="393">
        <v>11856090</v>
      </c>
      <c r="AU19" s="394">
        <f t="shared" si="11"/>
        <v>0.27342063078601608</v>
      </c>
      <c r="AV19" s="393">
        <f>9551+25976+4741</f>
        <v>40268</v>
      </c>
      <c r="AW19" s="393">
        <f t="shared" si="12"/>
        <v>11010.101960491296</v>
      </c>
    </row>
    <row r="20" spans="1:49" s="169" customFormat="1" ht="20.100000000000001" customHeight="1" x14ac:dyDescent="0.25">
      <c r="B20" s="190" t="s">
        <v>196</v>
      </c>
      <c r="E20" s="201">
        <f>19788600+1965100</f>
        <v>21753700</v>
      </c>
      <c r="G20" s="204">
        <v>-1885000</v>
      </c>
      <c r="H20" s="206">
        <f t="shared" si="0"/>
        <v>19868700</v>
      </c>
      <c r="J20" s="204">
        <v>-535500</v>
      </c>
      <c r="K20" s="203"/>
      <c r="L20" s="201">
        <f t="shared" si="1"/>
        <v>-535500</v>
      </c>
      <c r="M20" s="207">
        <f t="shared" si="2"/>
        <v>-2.4616502020345963E-2</v>
      </c>
      <c r="O20" s="204"/>
      <c r="P20" s="203"/>
      <c r="Q20" s="203"/>
      <c r="R20" s="203"/>
      <c r="T20" s="206">
        <f t="shared" si="3"/>
        <v>0</v>
      </c>
      <c r="U20" s="205">
        <f t="shared" si="4"/>
        <v>0</v>
      </c>
      <c r="W20" s="201">
        <v>32765000</v>
      </c>
      <c r="X20" s="231"/>
      <c r="Y20" s="236">
        <v>738700</v>
      </c>
      <c r="Z20" s="236">
        <f>700000+2700+450000</f>
        <v>1152700</v>
      </c>
      <c r="AA20" s="235"/>
      <c r="AB20" s="201">
        <v>236524</v>
      </c>
      <c r="AC20" s="230">
        <f t="shared" si="5"/>
        <v>7.2188005493667023E-3</v>
      </c>
      <c r="AD20" s="202"/>
      <c r="AE20" s="203">
        <v>-145300</v>
      </c>
      <c r="AF20" s="201">
        <v>82994</v>
      </c>
      <c r="AG20" s="230">
        <f t="shared" si="6"/>
        <v>2.5330077826949487E-3</v>
      </c>
      <c r="AH20" s="201"/>
      <c r="AI20" s="201">
        <v>44600</v>
      </c>
      <c r="AJ20" s="230">
        <f t="shared" si="7"/>
        <v>1.3612086067450024E-3</v>
      </c>
      <c r="AK20" s="230"/>
      <c r="AL20" s="201">
        <v>29300</v>
      </c>
      <c r="AM20" s="230">
        <f t="shared" si="8"/>
        <v>8.9424690981229973E-4</v>
      </c>
      <c r="AN20" s="230"/>
      <c r="AO20" s="393">
        <f t="shared" si="9"/>
        <v>393418</v>
      </c>
      <c r="AP20" s="230">
        <f t="shared" si="10"/>
        <v>1.2007263848618954E-2</v>
      </c>
      <c r="AR20" s="227"/>
      <c r="AS20" s="393">
        <v>39729900</v>
      </c>
      <c r="AT20" s="393">
        <v>32765000</v>
      </c>
      <c r="AU20" s="394">
        <f t="shared" si="11"/>
        <v>0.45196282772995067</v>
      </c>
      <c r="AV20" s="393">
        <f>24026+24256</f>
        <v>48282</v>
      </c>
      <c r="AW20" s="393">
        <f t="shared" si="12"/>
        <v>21821.669248457478</v>
      </c>
    </row>
    <row r="21" spans="1:49" s="169" customFormat="1" ht="20.100000000000001" customHeight="1" x14ac:dyDescent="0.25">
      <c r="B21" s="234" t="s">
        <v>195</v>
      </c>
      <c r="C21" s="212"/>
      <c r="D21" s="212"/>
      <c r="E21" s="211">
        <f>46408400+16021200</f>
        <v>62429600</v>
      </c>
      <c r="F21" s="212"/>
      <c r="G21" s="211">
        <v>-5444100</v>
      </c>
      <c r="H21" s="211">
        <f t="shared" si="0"/>
        <v>56985500</v>
      </c>
      <c r="I21" s="212"/>
      <c r="J21" s="211">
        <v>-2117000</v>
      </c>
      <c r="K21" s="211"/>
      <c r="L21" s="211">
        <f t="shared" si="1"/>
        <v>-2117000</v>
      </c>
      <c r="M21" s="215">
        <f t="shared" si="2"/>
        <v>-3.3910196445275959E-2</v>
      </c>
      <c r="N21" s="212"/>
      <c r="O21" s="211"/>
      <c r="P21" s="211"/>
      <c r="Q21" s="211"/>
      <c r="R21" s="211"/>
      <c r="S21" s="212"/>
      <c r="T21" s="211">
        <f t="shared" si="3"/>
        <v>0</v>
      </c>
      <c r="U21" s="213">
        <f t="shared" si="4"/>
        <v>0</v>
      </c>
      <c r="V21" s="212"/>
      <c r="W21" s="211">
        <v>134092000</v>
      </c>
      <c r="X21" s="233"/>
      <c r="Y21" s="233">
        <v>2835000</v>
      </c>
      <c r="Z21" s="233">
        <f>2000000+11800</f>
        <v>2011800</v>
      </c>
      <c r="AA21" s="233"/>
      <c r="AB21" s="211">
        <v>891674</v>
      </c>
      <c r="AC21" s="232">
        <f t="shared" si="5"/>
        <v>6.6497181039883065E-3</v>
      </c>
      <c r="AD21" s="209"/>
      <c r="AE21" s="211">
        <v>-127000</v>
      </c>
      <c r="AF21" s="211">
        <v>338954</v>
      </c>
      <c r="AG21" s="232">
        <f t="shared" si="6"/>
        <v>2.5277719774483192E-3</v>
      </c>
      <c r="AH21" s="211"/>
      <c r="AI21" s="211">
        <v>156100</v>
      </c>
      <c r="AJ21" s="232">
        <f t="shared" si="7"/>
        <v>1.1641261223637503E-3</v>
      </c>
      <c r="AK21" s="232"/>
      <c r="AL21" s="211">
        <v>99900</v>
      </c>
      <c r="AM21" s="232">
        <f t="shared" si="8"/>
        <v>7.450108880470125E-4</v>
      </c>
      <c r="AN21" s="232"/>
      <c r="AO21" s="890">
        <f t="shared" si="9"/>
        <v>1486628</v>
      </c>
      <c r="AP21" s="232">
        <f t="shared" si="10"/>
        <v>1.1086627091847389E-2</v>
      </c>
      <c r="AR21" s="227"/>
      <c r="AS21" s="393">
        <v>117252000</v>
      </c>
      <c r="AT21" s="393">
        <v>136396300</v>
      </c>
      <c r="AU21" s="394">
        <f t="shared" si="11"/>
        <v>0.53773788351824159</v>
      </c>
      <c r="AV21" s="393">
        <f>61515+81305+38676</f>
        <v>181496</v>
      </c>
      <c r="AW21" s="393">
        <f t="shared" si="12"/>
        <v>97597.274907026775</v>
      </c>
    </row>
    <row r="22" spans="1:49" s="169" customFormat="1" ht="20.100000000000001" customHeight="1" x14ac:dyDescent="0.25">
      <c r="B22" s="190" t="s">
        <v>194</v>
      </c>
      <c r="E22" s="201">
        <f>60200100+6084300</f>
        <v>66284400</v>
      </c>
      <c r="G22" s="201">
        <v>-5606200</v>
      </c>
      <c r="H22" s="201">
        <f t="shared" si="0"/>
        <v>60678200</v>
      </c>
      <c r="J22" s="201">
        <v>-1883000</v>
      </c>
      <c r="K22" s="201"/>
      <c r="L22" s="201">
        <f t="shared" si="1"/>
        <v>-1883000</v>
      </c>
      <c r="M22" s="207">
        <f t="shared" si="2"/>
        <v>-2.8407890846111603E-2</v>
      </c>
      <c r="O22" s="201"/>
      <c r="P22" s="201"/>
      <c r="Q22" s="201"/>
      <c r="R22" s="201"/>
      <c r="T22" s="201">
        <f t="shared" si="3"/>
        <v>0</v>
      </c>
      <c r="U22" s="205">
        <f t="shared" si="4"/>
        <v>0</v>
      </c>
      <c r="W22" s="201">
        <v>58496500</v>
      </c>
      <c r="X22" s="231"/>
      <c r="Y22" s="231">
        <v>2519900</v>
      </c>
      <c r="Z22" s="231">
        <v>898700</v>
      </c>
      <c r="AA22" s="231"/>
      <c r="AB22" s="201">
        <v>514263</v>
      </c>
      <c r="AC22" s="230">
        <f t="shared" si="5"/>
        <v>8.7913464908156904E-3</v>
      </c>
      <c r="AD22" s="202"/>
      <c r="AE22" s="201">
        <v>-84300</v>
      </c>
      <c r="AF22" s="201">
        <v>170664</v>
      </c>
      <c r="AG22" s="230">
        <f t="shared" si="6"/>
        <v>2.9175078850871418E-3</v>
      </c>
      <c r="AH22" s="201"/>
      <c r="AI22" s="201">
        <v>65300</v>
      </c>
      <c r="AJ22" s="230">
        <f t="shared" si="7"/>
        <v>1.1163061037839871E-3</v>
      </c>
      <c r="AK22" s="230"/>
      <c r="AL22" s="201">
        <v>48100</v>
      </c>
      <c r="AM22" s="230">
        <f t="shared" si="8"/>
        <v>8.2227141794808235E-4</v>
      </c>
      <c r="AN22" s="230"/>
      <c r="AO22" s="393">
        <f t="shared" si="9"/>
        <v>798327</v>
      </c>
      <c r="AP22" s="230">
        <f t="shared" si="10"/>
        <v>1.3647431897634902E-2</v>
      </c>
      <c r="AR22" s="227"/>
      <c r="AS22" s="393">
        <v>96031700</v>
      </c>
      <c r="AT22" s="393">
        <v>58801900</v>
      </c>
      <c r="AU22" s="394">
        <f t="shared" si="11"/>
        <v>0.37977480340184561</v>
      </c>
      <c r="AV22" s="393">
        <f>36197+54408+39131</f>
        <v>129736</v>
      </c>
      <c r="AW22" s="393">
        <f t="shared" si="12"/>
        <v>49270.463894141845</v>
      </c>
    </row>
    <row r="23" spans="1:49" s="169" customFormat="1" ht="6" customHeight="1" x14ac:dyDescent="0.25">
      <c r="B23" s="190"/>
      <c r="G23" s="187"/>
      <c r="H23" s="189"/>
      <c r="J23" s="187"/>
      <c r="K23" s="186"/>
      <c r="O23" s="187"/>
      <c r="P23" s="186"/>
      <c r="Q23" s="186"/>
      <c r="R23" s="186"/>
      <c r="T23" s="189"/>
      <c r="U23" s="188"/>
      <c r="Y23" s="186"/>
      <c r="Z23" s="186"/>
      <c r="AA23" s="187"/>
      <c r="AC23" s="229"/>
      <c r="AE23" s="186"/>
      <c r="AG23" s="229"/>
      <c r="AJ23" s="229"/>
      <c r="AK23" s="229"/>
      <c r="AM23" s="229"/>
      <c r="AN23" s="229"/>
      <c r="AP23" s="229"/>
      <c r="AR23" s="227"/>
    </row>
    <row r="24" spans="1:49" s="169" customFormat="1" ht="15.75" x14ac:dyDescent="0.25">
      <c r="B24" s="200" t="s">
        <v>193</v>
      </c>
      <c r="C24" s="191"/>
      <c r="E24" s="170">
        <f>SUM(E9:E23)</f>
        <v>656479100</v>
      </c>
      <c r="G24" s="204">
        <f>SUM(G9:G23)</f>
        <v>-54242700</v>
      </c>
      <c r="H24" s="198">
        <f>SUM(H9:H23)</f>
        <v>602236400</v>
      </c>
      <c r="J24" s="204">
        <f>SUM(J9:J23)</f>
        <v>-19081000</v>
      </c>
      <c r="K24" s="203">
        <f>SUM(K9:K23)</f>
        <v>0</v>
      </c>
      <c r="L24" s="201">
        <f>SUM(L9:L23)</f>
        <v>-19081000</v>
      </c>
      <c r="M24" s="207">
        <f>L24/$E24</f>
        <v>-2.9065662562601003E-2</v>
      </c>
      <c r="O24" s="204">
        <f>SUM(O9:O23)</f>
        <v>0</v>
      </c>
      <c r="P24" s="203">
        <f>SUM(P9:P23)</f>
        <v>0</v>
      </c>
      <c r="Q24" s="203">
        <f>SUM(Q9:Q23)</f>
        <v>0</v>
      </c>
      <c r="R24" s="203">
        <f>SUM(R9:R23)</f>
        <v>0</v>
      </c>
      <c r="T24" s="198">
        <f>SUM(T9:T23)</f>
        <v>0</v>
      </c>
      <c r="U24" s="205">
        <f>T24/$E24</f>
        <v>0</v>
      </c>
      <c r="W24" s="193">
        <f>+W9+W10+W17+W18+W19+W20+W21+W22</f>
        <v>841995769</v>
      </c>
      <c r="X24" s="201"/>
      <c r="Y24" s="195">
        <f>SUM(Y9:Y23)</f>
        <v>24980400</v>
      </c>
      <c r="Z24" s="195">
        <f>SUM(Z9:Z23)</f>
        <v>6667800</v>
      </c>
      <c r="AA24" s="196">
        <f>SUM(AA9:AA23)</f>
        <v>-57500</v>
      </c>
      <c r="AB24" s="193">
        <f>+AB9+AB10+AB17+AB18+AB19+AB20+AB21+AB22</f>
        <v>6128082</v>
      </c>
      <c r="AC24" s="228">
        <f>+AB24/$W24</f>
        <v>7.2780436976281294E-3</v>
      </c>
      <c r="AD24" s="202"/>
      <c r="AE24" s="195">
        <f>SUM(AE9:AE23)</f>
        <v>-2793600</v>
      </c>
      <c r="AF24" s="193">
        <f>+AF9+AF10+AF17+AF18+AF19+AF20+AF21+AF22</f>
        <v>1793953.66</v>
      </c>
      <c r="AG24" s="228">
        <f>+AF24/$W24</f>
        <v>2.1305970006602255E-3</v>
      </c>
      <c r="AH24" s="201"/>
      <c r="AI24" s="193">
        <f>+AI9+AI10+AI17+AI18+AI19+AI20+AI21+AI22</f>
        <v>1226000</v>
      </c>
      <c r="AJ24" s="228">
        <f>+AI24/$W24</f>
        <v>1.4560643237626529E-3</v>
      </c>
      <c r="AK24" s="230"/>
      <c r="AL24" s="193">
        <f>+AL9+AL10+AL17+AL18+AL19+AL20+AL21+AL22</f>
        <v>476200</v>
      </c>
      <c r="AM24" s="228">
        <f>+AL24/$W24</f>
        <v>5.655610366849717E-4</v>
      </c>
      <c r="AN24" s="228"/>
      <c r="AO24" s="193">
        <f>+AO9+AO10+AO17+AO18+AO19+AO20+AO21+AO22</f>
        <v>9624235.6600000001</v>
      </c>
      <c r="AP24" s="228">
        <f>+AO24/$W24</f>
        <v>1.1430266058735979E-2</v>
      </c>
      <c r="AR24" s="227"/>
      <c r="AV24" s="395">
        <f>SUM(AV9:AV23)</f>
        <v>1485182</v>
      </c>
      <c r="AW24" s="395">
        <f>SUM(AW9:AW23)</f>
        <v>722463.08862194547</v>
      </c>
    </row>
    <row r="25" spans="1:49" s="169" customFormat="1" ht="6" customHeight="1" x14ac:dyDescent="0.25">
      <c r="A25" s="216"/>
      <c r="B25" s="190"/>
      <c r="G25" s="187"/>
      <c r="H25" s="189"/>
      <c r="J25" s="187"/>
      <c r="K25" s="186"/>
      <c r="O25" s="187"/>
      <c r="P25" s="186"/>
      <c r="Q25" s="186"/>
      <c r="R25" s="186"/>
      <c r="T25" s="189"/>
      <c r="U25" s="188"/>
      <c r="Y25" s="186"/>
      <c r="Z25" s="186"/>
      <c r="AA25" s="187"/>
      <c r="AE25" s="186"/>
    </row>
    <row r="26" spans="1:49" ht="12.75" x14ac:dyDescent="0.2">
      <c r="A26" s="224"/>
      <c r="E26" s="218"/>
      <c r="F26" s="219"/>
      <c r="G26" s="219"/>
      <c r="H26" s="223"/>
      <c r="I26" s="219"/>
      <c r="J26" s="219"/>
      <c r="K26" s="219"/>
      <c r="L26" s="219"/>
      <c r="M26" s="226"/>
      <c r="N26" s="219"/>
      <c r="O26" s="219"/>
      <c r="P26" s="219"/>
      <c r="Q26" s="219"/>
      <c r="R26" s="219"/>
      <c r="S26" s="219"/>
      <c r="T26" s="223"/>
      <c r="U26" s="225"/>
      <c r="W26" s="218"/>
      <c r="X26" s="219"/>
      <c r="Y26" s="219"/>
      <c r="Z26" s="219"/>
      <c r="AA26" s="219"/>
      <c r="AB26" s="218"/>
      <c r="AC26" s="217"/>
      <c r="AD26" s="217"/>
      <c r="AE26" s="219"/>
      <c r="AF26" s="218"/>
      <c r="AG26" s="217"/>
      <c r="AH26" s="219"/>
      <c r="AI26" s="218"/>
      <c r="AJ26" s="217"/>
      <c r="AK26" s="217"/>
      <c r="AL26" s="218"/>
      <c r="AM26" s="217"/>
      <c r="AN26" s="217"/>
      <c r="AO26" s="218"/>
      <c r="AP26" s="889"/>
      <c r="AQ26" s="219"/>
      <c r="AW26" s="396" t="s">
        <v>667</v>
      </c>
    </row>
    <row r="27" spans="1:49" ht="13.5" thickBot="1" x14ac:dyDescent="0.25">
      <c r="A27" s="224"/>
      <c r="E27" s="218"/>
      <c r="F27" s="219"/>
      <c r="G27" s="219"/>
      <c r="H27" s="223"/>
      <c r="I27" s="219"/>
      <c r="J27" s="219"/>
      <c r="K27" s="219"/>
      <c r="L27" s="219"/>
      <c r="M27" s="226"/>
      <c r="N27" s="219"/>
      <c r="O27" s="219"/>
      <c r="P27" s="219"/>
      <c r="Q27" s="219"/>
      <c r="R27" s="219"/>
      <c r="S27" s="219"/>
      <c r="T27" s="223"/>
      <c r="U27" s="225"/>
      <c r="W27" s="218"/>
      <c r="X27" s="219"/>
      <c r="Y27" s="219"/>
      <c r="Z27" s="219"/>
      <c r="AA27" s="219"/>
      <c r="AB27" s="218"/>
      <c r="AC27" s="217"/>
      <c r="AD27" s="217"/>
      <c r="AE27" s="219"/>
      <c r="AF27" s="218"/>
      <c r="AG27" s="217"/>
      <c r="AH27" s="219"/>
      <c r="AI27" s="218"/>
      <c r="AJ27" s="217"/>
      <c r="AK27" s="217"/>
      <c r="AL27" s="218"/>
      <c r="AM27" s="217"/>
      <c r="AN27" s="217"/>
      <c r="AO27" s="218"/>
      <c r="AP27" s="217"/>
      <c r="AQ27" s="219"/>
    </row>
    <row r="28" spans="1:49" ht="16.5" x14ac:dyDescent="0.3">
      <c r="A28" s="224"/>
      <c r="B28" s="171"/>
      <c r="E28" s="218"/>
      <c r="F28" s="219"/>
      <c r="G28" s="219"/>
      <c r="H28" s="223"/>
      <c r="I28" s="219"/>
      <c r="J28" s="1041" t="s">
        <v>179</v>
      </c>
      <c r="K28" s="1041"/>
      <c r="O28" s="165"/>
      <c r="P28" s="165"/>
      <c r="Q28" s="165"/>
      <c r="R28" s="165"/>
      <c r="T28" s="165"/>
      <c r="Y28" s="1041" t="s">
        <v>179</v>
      </c>
      <c r="Z28" s="1041"/>
      <c r="AA28" s="1041"/>
      <c r="AB28" s="218"/>
      <c r="AE28" s="220" t="s">
        <v>179</v>
      </c>
      <c r="AF28" s="218"/>
      <c r="AG28" s="217"/>
      <c r="AH28" s="219"/>
      <c r="AI28" s="218"/>
      <c r="AJ28" s="217"/>
      <c r="AK28" s="217"/>
      <c r="AL28" s="218"/>
      <c r="AM28" s="217"/>
      <c r="AN28" s="217"/>
      <c r="AO28" s="218"/>
      <c r="AP28" s="217"/>
      <c r="AQ28" s="219"/>
    </row>
    <row r="29" spans="1:49" s="169" customFormat="1" ht="6" customHeight="1" x14ac:dyDescent="0.25">
      <c r="A29" s="216"/>
      <c r="B29" s="190"/>
      <c r="G29" s="187"/>
      <c r="H29" s="189"/>
      <c r="J29" s="187"/>
      <c r="K29" s="186"/>
      <c r="O29" s="187"/>
      <c r="P29" s="186"/>
      <c r="Q29" s="186"/>
      <c r="R29" s="186"/>
      <c r="T29" s="189"/>
      <c r="U29" s="188"/>
      <c r="W29" s="170"/>
      <c r="Y29" s="186"/>
      <c r="Z29" s="186"/>
      <c r="AA29" s="187"/>
      <c r="AB29" s="170"/>
      <c r="AE29" s="186"/>
      <c r="AL29" s="170"/>
    </row>
    <row r="30" spans="1:49" s="169" customFormat="1" ht="20.100000000000001" hidden="1" customHeight="1" x14ac:dyDescent="0.25">
      <c r="A30" s="216" t="s">
        <v>192</v>
      </c>
      <c r="B30" s="190"/>
      <c r="G30" s="187"/>
      <c r="H30" s="189"/>
      <c r="J30" s="187"/>
      <c r="K30" s="186"/>
      <c r="O30" s="187"/>
      <c r="P30" s="186"/>
      <c r="Q30" s="186"/>
      <c r="R30" s="186"/>
      <c r="T30" s="189"/>
      <c r="U30" s="188"/>
      <c r="Y30" s="186"/>
      <c r="Z30" s="186"/>
      <c r="AA30" s="187"/>
      <c r="AE30" s="186"/>
    </row>
    <row r="31" spans="1:49" s="169" customFormat="1" ht="20.100000000000001" hidden="1" customHeight="1" x14ac:dyDescent="0.25">
      <c r="A31" s="222"/>
      <c r="B31" s="212" t="s">
        <v>191</v>
      </c>
      <c r="C31" s="212"/>
      <c r="D31" s="212"/>
      <c r="E31" s="210">
        <v>1773400</v>
      </c>
      <c r="F31" s="211"/>
      <c r="G31" s="211"/>
      <c r="H31" s="214">
        <f t="shared" ref="H31:H41" si="15">+E31+G31</f>
        <v>1773400</v>
      </c>
      <c r="I31" s="211"/>
      <c r="J31" s="211"/>
      <c r="K31" s="211"/>
      <c r="L31" s="211">
        <f t="shared" ref="L31:L41" si="16">SUM(J31:K31)</f>
        <v>0</v>
      </c>
      <c r="M31" s="215">
        <f t="shared" ref="M31:M41" si="17">L31/$E31</f>
        <v>0</v>
      </c>
      <c r="N31" s="211"/>
      <c r="O31" s="211">
        <v>0</v>
      </c>
      <c r="P31" s="211"/>
      <c r="Q31" s="211">
        <v>110500</v>
      </c>
      <c r="R31" s="211">
        <v>-700000</v>
      </c>
      <c r="S31" s="211"/>
      <c r="T31" s="214">
        <f t="shared" ref="T31:T41" si="18">SUM(O31:R31)</f>
        <v>-589500</v>
      </c>
      <c r="U31" s="213">
        <f t="shared" ref="U31:U41" si="19">T31/$E31</f>
        <v>-0.33241231532649146</v>
      </c>
      <c r="V31" s="212"/>
      <c r="W31" s="210">
        <f t="shared" ref="W31:W41" si="20">+T31+H31</f>
        <v>1183900</v>
      </c>
      <c r="X31" s="211"/>
      <c r="Y31" s="211">
        <v>37100</v>
      </c>
      <c r="Z31" s="211"/>
      <c r="AA31" s="211"/>
      <c r="AB31" s="210">
        <f t="shared" ref="AB31:AB41" si="21">+W31+X31+Y31</f>
        <v>1221000</v>
      </c>
      <c r="AC31" s="209">
        <f t="shared" ref="AC31:AC41" si="22">+AB31/$W31</f>
        <v>1.031337106174508</v>
      </c>
      <c r="AD31" s="209"/>
      <c r="AE31" s="211">
        <v>215000</v>
      </c>
      <c r="AF31" s="210">
        <f t="shared" ref="AF31:AF41" si="23">+AE31</f>
        <v>215000</v>
      </c>
      <c r="AG31" s="209">
        <f t="shared" ref="AG31:AG41" si="24">+AF31/$W31</f>
        <v>0.18160317594391417</v>
      </c>
      <c r="AH31" s="211"/>
      <c r="AI31" s="210">
        <f t="shared" ref="AI31:AI41" si="25">+AH31</f>
        <v>0</v>
      </c>
      <c r="AJ31" s="209">
        <f t="shared" ref="AJ31:AJ41" si="26">+AI31/$W31</f>
        <v>0</v>
      </c>
      <c r="AK31" s="209"/>
      <c r="AL31" s="210"/>
      <c r="AM31" s="209">
        <f t="shared" ref="AM31:AM41" si="27">+AL31/$W31</f>
        <v>0</v>
      </c>
      <c r="AN31" s="209"/>
      <c r="AO31" s="210" t="e">
        <f>+AF31+#REF!</f>
        <v>#REF!</v>
      </c>
      <c r="AP31" s="209" t="e">
        <f t="shared" ref="AP31:AP41" si="28">+AO31/$W31</f>
        <v>#REF!</v>
      </c>
      <c r="AQ31" s="201"/>
    </row>
    <row r="32" spans="1:49" s="169" customFormat="1" ht="20.100000000000001" hidden="1" customHeight="1" x14ac:dyDescent="0.25">
      <c r="A32" s="222"/>
      <c r="B32" s="169" t="s">
        <v>190</v>
      </c>
      <c r="E32" s="170">
        <v>3608100</v>
      </c>
      <c r="F32" s="201"/>
      <c r="G32" s="204"/>
      <c r="H32" s="206">
        <f t="shared" si="15"/>
        <v>3608100</v>
      </c>
      <c r="I32" s="201"/>
      <c r="J32" s="204"/>
      <c r="K32" s="203"/>
      <c r="L32" s="201">
        <f t="shared" si="16"/>
        <v>0</v>
      </c>
      <c r="M32" s="207">
        <f t="shared" si="17"/>
        <v>0</v>
      </c>
      <c r="N32" s="201"/>
      <c r="O32" s="204">
        <v>0</v>
      </c>
      <c r="P32" s="203"/>
      <c r="Q32" s="203"/>
      <c r="R32" s="203"/>
      <c r="S32" s="201"/>
      <c r="T32" s="206">
        <f t="shared" si="18"/>
        <v>0</v>
      </c>
      <c r="U32" s="205">
        <f t="shared" si="19"/>
        <v>0</v>
      </c>
      <c r="W32" s="201">
        <f t="shared" si="20"/>
        <v>3608100</v>
      </c>
      <c r="X32" s="201"/>
      <c r="Y32" s="203"/>
      <c r="Z32" s="203"/>
      <c r="AA32" s="204"/>
      <c r="AB32" s="201">
        <f t="shared" si="21"/>
        <v>3608100</v>
      </c>
      <c r="AC32" s="202">
        <f t="shared" si="22"/>
        <v>1</v>
      </c>
      <c r="AD32" s="202"/>
      <c r="AE32" s="203">
        <v>900000</v>
      </c>
      <c r="AF32" s="201">
        <f t="shared" si="23"/>
        <v>900000</v>
      </c>
      <c r="AG32" s="202">
        <f t="shared" si="24"/>
        <v>0.24943876278373658</v>
      </c>
      <c r="AH32" s="201"/>
      <c r="AI32" s="201">
        <f t="shared" si="25"/>
        <v>0</v>
      </c>
      <c r="AJ32" s="202">
        <f t="shared" si="26"/>
        <v>0</v>
      </c>
      <c r="AK32" s="202"/>
      <c r="AL32" s="201"/>
      <c r="AM32" s="202">
        <f t="shared" si="27"/>
        <v>0</v>
      </c>
      <c r="AN32" s="202"/>
      <c r="AO32" s="201" t="e">
        <f>+AF32+#REF!</f>
        <v>#REF!</v>
      </c>
      <c r="AP32" s="202" t="e">
        <f t="shared" si="28"/>
        <v>#REF!</v>
      </c>
      <c r="AQ32" s="201"/>
    </row>
    <row r="33" spans="1:43" s="169" customFormat="1" ht="20.100000000000001" hidden="1" customHeight="1" x14ac:dyDescent="0.25">
      <c r="A33" s="222"/>
      <c r="B33" s="212" t="s">
        <v>189</v>
      </c>
      <c r="C33" s="212"/>
      <c r="D33" s="212"/>
      <c r="E33" s="210">
        <v>2262400</v>
      </c>
      <c r="F33" s="211"/>
      <c r="G33" s="211">
        <v>-1460500</v>
      </c>
      <c r="H33" s="211">
        <f t="shared" si="15"/>
        <v>801900</v>
      </c>
      <c r="I33" s="211"/>
      <c r="J33" s="211"/>
      <c r="K33" s="211">
        <v>500000</v>
      </c>
      <c r="L33" s="211">
        <f t="shared" si="16"/>
        <v>500000</v>
      </c>
      <c r="M33" s="215">
        <f t="shared" si="17"/>
        <v>0.221004243281471</v>
      </c>
      <c r="N33" s="211"/>
      <c r="O33" s="211">
        <v>0</v>
      </c>
      <c r="P33" s="211"/>
      <c r="Q33" s="211"/>
      <c r="R33" s="211"/>
      <c r="S33" s="211"/>
      <c r="T33" s="211">
        <f t="shared" si="18"/>
        <v>0</v>
      </c>
      <c r="U33" s="213">
        <f t="shared" si="19"/>
        <v>0</v>
      </c>
      <c r="V33" s="212"/>
      <c r="W33" s="211">
        <f t="shared" si="20"/>
        <v>801900</v>
      </c>
      <c r="X33" s="211"/>
      <c r="Y33" s="211"/>
      <c r="Z33" s="211"/>
      <c r="AA33" s="211"/>
      <c r="AB33" s="211">
        <f t="shared" si="21"/>
        <v>801900</v>
      </c>
      <c r="AC33" s="209">
        <f t="shared" si="22"/>
        <v>1</v>
      </c>
      <c r="AD33" s="209"/>
      <c r="AE33" s="211"/>
      <c r="AF33" s="211">
        <f t="shared" si="23"/>
        <v>0</v>
      </c>
      <c r="AG33" s="209">
        <f t="shared" si="24"/>
        <v>0</v>
      </c>
      <c r="AH33" s="211"/>
      <c r="AI33" s="211">
        <f t="shared" si="25"/>
        <v>0</v>
      </c>
      <c r="AJ33" s="209">
        <f t="shared" si="26"/>
        <v>0</v>
      </c>
      <c r="AK33" s="209"/>
      <c r="AL33" s="211"/>
      <c r="AM33" s="209">
        <f t="shared" si="27"/>
        <v>0</v>
      </c>
      <c r="AN33" s="209"/>
      <c r="AO33" s="211" t="e">
        <f>+AF33+#REF!</f>
        <v>#REF!</v>
      </c>
      <c r="AP33" s="209" t="e">
        <f t="shared" si="28"/>
        <v>#REF!</v>
      </c>
      <c r="AQ33" s="201"/>
    </row>
    <row r="34" spans="1:43" s="169" customFormat="1" ht="20.100000000000001" hidden="1" customHeight="1" x14ac:dyDescent="0.25">
      <c r="A34" s="222"/>
      <c r="B34" s="169" t="s">
        <v>188</v>
      </c>
      <c r="E34" s="170">
        <v>9650300</v>
      </c>
      <c r="F34" s="201"/>
      <c r="G34" s="204">
        <v>0</v>
      </c>
      <c r="H34" s="206">
        <f t="shared" si="15"/>
        <v>9650300</v>
      </c>
      <c r="I34" s="201"/>
      <c r="J34" s="204"/>
      <c r="K34" s="203"/>
      <c r="L34" s="201">
        <f t="shared" si="16"/>
        <v>0</v>
      </c>
      <c r="M34" s="207">
        <f t="shared" si="17"/>
        <v>0</v>
      </c>
      <c r="N34" s="201"/>
      <c r="O34" s="204">
        <v>0</v>
      </c>
      <c r="P34" s="203"/>
      <c r="Q34" s="203"/>
      <c r="R34" s="203">
        <v>76400</v>
      </c>
      <c r="S34" s="201"/>
      <c r="T34" s="206">
        <f t="shared" si="18"/>
        <v>76400</v>
      </c>
      <c r="U34" s="205">
        <f t="shared" si="19"/>
        <v>7.9168523258344309E-3</v>
      </c>
      <c r="W34" s="201">
        <f t="shared" si="20"/>
        <v>9726700</v>
      </c>
      <c r="X34" s="201"/>
      <c r="Y34" s="203">
        <v>369100</v>
      </c>
      <c r="Z34" s="203">
        <v>52600</v>
      </c>
      <c r="AA34" s="204"/>
      <c r="AB34" s="201">
        <f t="shared" si="21"/>
        <v>10095800</v>
      </c>
      <c r="AC34" s="202">
        <f t="shared" si="22"/>
        <v>1.0379470940812403</v>
      </c>
      <c r="AD34" s="202"/>
      <c r="AE34" s="203">
        <v>134100</v>
      </c>
      <c r="AF34" s="201">
        <f t="shared" si="23"/>
        <v>134100</v>
      </c>
      <c r="AG34" s="202">
        <f t="shared" si="24"/>
        <v>1.3786793054170479E-2</v>
      </c>
      <c r="AH34" s="201"/>
      <c r="AI34" s="201">
        <f t="shared" si="25"/>
        <v>0</v>
      </c>
      <c r="AJ34" s="202">
        <f t="shared" si="26"/>
        <v>0</v>
      </c>
      <c r="AK34" s="202"/>
      <c r="AL34" s="201"/>
      <c r="AM34" s="202">
        <f t="shared" si="27"/>
        <v>0</v>
      </c>
      <c r="AN34" s="202"/>
      <c r="AO34" s="201" t="e">
        <f>+AF34+#REF!</f>
        <v>#REF!</v>
      </c>
      <c r="AP34" s="202" t="e">
        <f t="shared" si="28"/>
        <v>#REF!</v>
      </c>
      <c r="AQ34" s="201"/>
    </row>
    <row r="35" spans="1:43" s="169" customFormat="1" ht="20.100000000000001" hidden="1" customHeight="1" x14ac:dyDescent="0.25">
      <c r="A35" s="222"/>
      <c r="B35" s="212" t="s">
        <v>187</v>
      </c>
      <c r="C35" s="212"/>
      <c r="D35" s="212"/>
      <c r="E35" s="210">
        <v>9765300</v>
      </c>
      <c r="F35" s="211"/>
      <c r="G35" s="211">
        <v>422200</v>
      </c>
      <c r="H35" s="211">
        <f t="shared" si="15"/>
        <v>10187500</v>
      </c>
      <c r="I35" s="211"/>
      <c r="J35" s="211"/>
      <c r="K35" s="211"/>
      <c r="L35" s="211">
        <f t="shared" si="16"/>
        <v>0</v>
      </c>
      <c r="M35" s="215">
        <f t="shared" si="17"/>
        <v>0</v>
      </c>
      <c r="N35" s="211"/>
      <c r="O35" s="211">
        <v>0</v>
      </c>
      <c r="P35" s="211"/>
      <c r="Q35" s="211"/>
      <c r="R35" s="211">
        <v>72100</v>
      </c>
      <c r="S35" s="211"/>
      <c r="T35" s="211">
        <f t="shared" si="18"/>
        <v>72100</v>
      </c>
      <c r="U35" s="213">
        <f t="shared" si="19"/>
        <v>7.3832857157486199E-3</v>
      </c>
      <c r="V35" s="212"/>
      <c r="W35" s="211">
        <f t="shared" si="20"/>
        <v>10259600</v>
      </c>
      <c r="X35" s="211"/>
      <c r="Y35" s="211">
        <v>350200</v>
      </c>
      <c r="Z35" s="211">
        <v>100</v>
      </c>
      <c r="AA35" s="211"/>
      <c r="AB35" s="211">
        <f t="shared" si="21"/>
        <v>10609800</v>
      </c>
      <c r="AC35" s="209">
        <f t="shared" si="22"/>
        <v>1.0341338843619634</v>
      </c>
      <c r="AD35" s="209"/>
      <c r="AE35" s="211">
        <v>-112200</v>
      </c>
      <c r="AF35" s="211">
        <f t="shared" si="23"/>
        <v>-112200</v>
      </c>
      <c r="AG35" s="209">
        <f t="shared" si="24"/>
        <v>-1.093609887325042E-2</v>
      </c>
      <c r="AH35" s="211"/>
      <c r="AI35" s="211">
        <f t="shared" si="25"/>
        <v>0</v>
      </c>
      <c r="AJ35" s="209">
        <f t="shared" si="26"/>
        <v>0</v>
      </c>
      <c r="AK35" s="209"/>
      <c r="AL35" s="211"/>
      <c r="AM35" s="209">
        <f t="shared" si="27"/>
        <v>0</v>
      </c>
      <c r="AN35" s="209"/>
      <c r="AO35" s="211" t="e">
        <f>+AF35+#REF!</f>
        <v>#REF!</v>
      </c>
      <c r="AP35" s="209" t="e">
        <f t="shared" si="28"/>
        <v>#REF!</v>
      </c>
      <c r="AQ35" s="201"/>
    </row>
    <row r="36" spans="1:43" s="169" customFormat="1" ht="20.100000000000001" hidden="1" customHeight="1" x14ac:dyDescent="0.25">
      <c r="A36" s="222"/>
      <c r="B36" s="169" t="s">
        <v>186</v>
      </c>
      <c r="E36" s="170">
        <v>1802900</v>
      </c>
      <c r="F36" s="201"/>
      <c r="G36" s="204">
        <v>0</v>
      </c>
      <c r="H36" s="206">
        <f t="shared" si="15"/>
        <v>1802900</v>
      </c>
      <c r="I36" s="201"/>
      <c r="J36" s="204"/>
      <c r="K36" s="203"/>
      <c r="L36" s="201">
        <f t="shared" si="16"/>
        <v>0</v>
      </c>
      <c r="M36" s="207">
        <f t="shared" si="17"/>
        <v>0</v>
      </c>
      <c r="N36" s="201"/>
      <c r="O36" s="204">
        <v>0</v>
      </c>
      <c r="P36" s="203"/>
      <c r="Q36" s="203"/>
      <c r="R36" s="203">
        <v>99800</v>
      </c>
      <c r="S36" s="201"/>
      <c r="T36" s="206">
        <f t="shared" si="18"/>
        <v>99800</v>
      </c>
      <c r="U36" s="205">
        <f t="shared" si="19"/>
        <v>5.5355260968439735E-2</v>
      </c>
      <c r="W36" s="201">
        <f t="shared" si="20"/>
        <v>1902700</v>
      </c>
      <c r="X36" s="201"/>
      <c r="Y36" s="203">
        <v>62900</v>
      </c>
      <c r="Z36" s="203">
        <v>377100</v>
      </c>
      <c r="AA36" s="204"/>
      <c r="AB36" s="201">
        <f t="shared" si="21"/>
        <v>1965600</v>
      </c>
      <c r="AC36" s="202">
        <f t="shared" si="22"/>
        <v>1.0330582855941557</v>
      </c>
      <c r="AD36" s="202"/>
      <c r="AE36" s="203">
        <v>112400</v>
      </c>
      <c r="AF36" s="201">
        <f t="shared" si="23"/>
        <v>112400</v>
      </c>
      <c r="AG36" s="202">
        <f t="shared" si="24"/>
        <v>5.9073947548220949E-2</v>
      </c>
      <c r="AH36" s="201"/>
      <c r="AI36" s="201">
        <f t="shared" si="25"/>
        <v>0</v>
      </c>
      <c r="AJ36" s="202">
        <f t="shared" si="26"/>
        <v>0</v>
      </c>
      <c r="AK36" s="202"/>
      <c r="AL36" s="201"/>
      <c r="AM36" s="202">
        <f t="shared" si="27"/>
        <v>0</v>
      </c>
      <c r="AN36" s="202"/>
      <c r="AO36" s="201" t="e">
        <f>+AF36+#REF!</f>
        <v>#REF!</v>
      </c>
      <c r="AP36" s="202" t="e">
        <f t="shared" si="28"/>
        <v>#REF!</v>
      </c>
      <c r="AQ36" s="201"/>
    </row>
    <row r="37" spans="1:43" s="169" customFormat="1" ht="20.100000000000001" hidden="1" customHeight="1" x14ac:dyDescent="0.25">
      <c r="A37" s="222"/>
      <c r="B37" s="212" t="s">
        <v>185</v>
      </c>
      <c r="C37" s="212"/>
      <c r="D37" s="212"/>
      <c r="E37" s="210">
        <v>4804100</v>
      </c>
      <c r="F37" s="211"/>
      <c r="G37" s="211">
        <v>0</v>
      </c>
      <c r="H37" s="211">
        <f t="shared" si="15"/>
        <v>4804100</v>
      </c>
      <c r="I37" s="211"/>
      <c r="J37" s="211"/>
      <c r="K37" s="211"/>
      <c r="L37" s="211">
        <f t="shared" si="16"/>
        <v>0</v>
      </c>
      <c r="M37" s="215">
        <f t="shared" si="17"/>
        <v>0</v>
      </c>
      <c r="N37" s="211"/>
      <c r="O37" s="211">
        <v>0</v>
      </c>
      <c r="P37" s="211"/>
      <c r="Q37" s="211"/>
      <c r="R37" s="211">
        <v>161000</v>
      </c>
      <c r="S37" s="211"/>
      <c r="T37" s="211">
        <f t="shared" si="18"/>
        <v>161000</v>
      </c>
      <c r="U37" s="213">
        <f t="shared" si="19"/>
        <v>3.3513040944193502E-2</v>
      </c>
      <c r="V37" s="212"/>
      <c r="W37" s="211">
        <f t="shared" si="20"/>
        <v>4965100</v>
      </c>
      <c r="X37" s="211"/>
      <c r="Y37" s="211">
        <v>178800</v>
      </c>
      <c r="Z37" s="211">
        <v>66200</v>
      </c>
      <c r="AA37" s="211"/>
      <c r="AB37" s="211">
        <f t="shared" si="21"/>
        <v>5143900</v>
      </c>
      <c r="AC37" s="209">
        <f t="shared" si="22"/>
        <v>1.0360113592878291</v>
      </c>
      <c r="AD37" s="209"/>
      <c r="AE37" s="211">
        <v>134100</v>
      </c>
      <c r="AF37" s="211">
        <f t="shared" si="23"/>
        <v>134100</v>
      </c>
      <c r="AG37" s="209">
        <f t="shared" si="24"/>
        <v>2.7008519465871784E-2</v>
      </c>
      <c r="AH37" s="211"/>
      <c r="AI37" s="211">
        <f t="shared" si="25"/>
        <v>0</v>
      </c>
      <c r="AJ37" s="209">
        <f t="shared" si="26"/>
        <v>0</v>
      </c>
      <c r="AK37" s="209"/>
      <c r="AL37" s="211"/>
      <c r="AM37" s="209">
        <f t="shared" si="27"/>
        <v>0</v>
      </c>
      <c r="AN37" s="209"/>
      <c r="AO37" s="211" t="e">
        <f>+AF37+#REF!</f>
        <v>#REF!</v>
      </c>
      <c r="AP37" s="209" t="e">
        <f t="shared" si="28"/>
        <v>#REF!</v>
      </c>
      <c r="AQ37" s="201"/>
    </row>
    <row r="38" spans="1:43" s="169" customFormat="1" ht="20.100000000000001" hidden="1" customHeight="1" x14ac:dyDescent="0.25">
      <c r="A38" s="222"/>
      <c r="B38" s="169" t="s">
        <v>184</v>
      </c>
      <c r="E38" s="170">
        <v>11127000</v>
      </c>
      <c r="F38" s="201"/>
      <c r="G38" s="204">
        <v>0</v>
      </c>
      <c r="H38" s="206">
        <f t="shared" si="15"/>
        <v>11127000</v>
      </c>
      <c r="I38" s="201"/>
      <c r="J38" s="204"/>
      <c r="K38" s="203"/>
      <c r="L38" s="201">
        <f t="shared" si="16"/>
        <v>0</v>
      </c>
      <c r="M38" s="207">
        <f t="shared" si="17"/>
        <v>0</v>
      </c>
      <c r="N38" s="201"/>
      <c r="O38" s="204">
        <v>0</v>
      </c>
      <c r="P38" s="203"/>
      <c r="Q38" s="203"/>
      <c r="R38" s="203"/>
      <c r="S38" s="201"/>
      <c r="T38" s="206">
        <f t="shared" si="18"/>
        <v>0</v>
      </c>
      <c r="U38" s="205">
        <f t="shared" si="19"/>
        <v>0</v>
      </c>
      <c r="W38" s="201">
        <f t="shared" si="20"/>
        <v>11127000</v>
      </c>
      <c r="X38" s="201"/>
      <c r="Y38" s="203">
        <v>352000</v>
      </c>
      <c r="Z38" s="203"/>
      <c r="AA38" s="204">
        <v>-100</v>
      </c>
      <c r="AB38" s="201">
        <f t="shared" si="21"/>
        <v>11479000</v>
      </c>
      <c r="AC38" s="202">
        <f t="shared" si="22"/>
        <v>1.0316347622899253</v>
      </c>
      <c r="AD38" s="202"/>
      <c r="AE38" s="203">
        <v>133900</v>
      </c>
      <c r="AF38" s="201">
        <f t="shared" si="23"/>
        <v>133900</v>
      </c>
      <c r="AG38" s="202">
        <f t="shared" si="24"/>
        <v>1.2033791677900602E-2</v>
      </c>
      <c r="AH38" s="201"/>
      <c r="AI38" s="201">
        <f t="shared" si="25"/>
        <v>0</v>
      </c>
      <c r="AJ38" s="202">
        <f t="shared" si="26"/>
        <v>0</v>
      </c>
      <c r="AK38" s="202"/>
      <c r="AL38" s="201"/>
      <c r="AM38" s="202">
        <f t="shared" si="27"/>
        <v>0</v>
      </c>
      <c r="AN38" s="202"/>
      <c r="AO38" s="201" t="e">
        <f>+AF38+#REF!</f>
        <v>#REF!</v>
      </c>
      <c r="AP38" s="202" t="e">
        <f t="shared" si="28"/>
        <v>#REF!</v>
      </c>
      <c r="AQ38" s="201"/>
    </row>
    <row r="39" spans="1:43" s="169" customFormat="1" ht="20.100000000000001" hidden="1" customHeight="1" x14ac:dyDescent="0.25">
      <c r="A39" s="222"/>
      <c r="B39" s="212" t="s">
        <v>183</v>
      </c>
      <c r="C39" s="212"/>
      <c r="D39" s="212"/>
      <c r="E39" s="210">
        <v>3096500</v>
      </c>
      <c r="F39" s="211"/>
      <c r="G39" s="211">
        <v>0</v>
      </c>
      <c r="H39" s="211">
        <f t="shared" si="15"/>
        <v>3096500</v>
      </c>
      <c r="I39" s="211"/>
      <c r="J39" s="211"/>
      <c r="K39" s="211"/>
      <c r="L39" s="211">
        <f t="shared" si="16"/>
        <v>0</v>
      </c>
      <c r="M39" s="215">
        <f t="shared" si="17"/>
        <v>0</v>
      </c>
      <c r="N39" s="211"/>
      <c r="O39" s="211">
        <v>0</v>
      </c>
      <c r="P39" s="211"/>
      <c r="Q39" s="211"/>
      <c r="R39" s="211">
        <v>141500</v>
      </c>
      <c r="S39" s="211"/>
      <c r="T39" s="211">
        <f t="shared" si="18"/>
        <v>141500</v>
      </c>
      <c r="U39" s="213">
        <f t="shared" si="19"/>
        <v>4.5696754400129179E-2</v>
      </c>
      <c r="V39" s="212"/>
      <c r="W39" s="211">
        <f t="shared" si="20"/>
        <v>3238000</v>
      </c>
      <c r="X39" s="211"/>
      <c r="Y39" s="211">
        <v>103600</v>
      </c>
      <c r="Z39" s="211">
        <v>98000</v>
      </c>
      <c r="AA39" s="211"/>
      <c r="AB39" s="211">
        <f t="shared" si="21"/>
        <v>3341600</v>
      </c>
      <c r="AC39" s="209">
        <f t="shared" si="22"/>
        <v>1.0319950586781965</v>
      </c>
      <c r="AD39" s="209"/>
      <c r="AE39" s="211">
        <v>117700</v>
      </c>
      <c r="AF39" s="211">
        <f t="shared" si="23"/>
        <v>117700</v>
      </c>
      <c r="AG39" s="209">
        <f t="shared" si="24"/>
        <v>3.6349598517603457E-2</v>
      </c>
      <c r="AH39" s="211"/>
      <c r="AI39" s="211">
        <f t="shared" si="25"/>
        <v>0</v>
      </c>
      <c r="AJ39" s="209">
        <f t="shared" si="26"/>
        <v>0</v>
      </c>
      <c r="AK39" s="209"/>
      <c r="AL39" s="211"/>
      <c r="AM39" s="209">
        <f t="shared" si="27"/>
        <v>0</v>
      </c>
      <c r="AN39" s="209"/>
      <c r="AO39" s="211" t="e">
        <f>+AF39+#REF!</f>
        <v>#REF!</v>
      </c>
      <c r="AP39" s="209" t="e">
        <f t="shared" si="28"/>
        <v>#REF!</v>
      </c>
      <c r="AQ39" s="201"/>
    </row>
    <row r="40" spans="1:43" s="169" customFormat="1" ht="20.100000000000001" hidden="1" customHeight="1" x14ac:dyDescent="0.25">
      <c r="A40" s="222"/>
      <c r="B40" s="169" t="s">
        <v>182</v>
      </c>
      <c r="E40" s="170">
        <v>2222400</v>
      </c>
      <c r="F40" s="201"/>
      <c r="G40" s="204">
        <v>0</v>
      </c>
      <c r="H40" s="206">
        <f t="shared" si="15"/>
        <v>2222400</v>
      </c>
      <c r="I40" s="201"/>
      <c r="J40" s="204"/>
      <c r="K40" s="203"/>
      <c r="L40" s="201">
        <f t="shared" si="16"/>
        <v>0</v>
      </c>
      <c r="M40" s="207">
        <f t="shared" si="17"/>
        <v>0</v>
      </c>
      <c r="N40" s="201"/>
      <c r="O40" s="204">
        <v>0</v>
      </c>
      <c r="P40" s="203"/>
      <c r="Q40" s="203"/>
      <c r="R40" s="203">
        <v>38900</v>
      </c>
      <c r="S40" s="201"/>
      <c r="T40" s="206">
        <f t="shared" si="18"/>
        <v>38900</v>
      </c>
      <c r="U40" s="205">
        <f t="shared" si="19"/>
        <v>1.7503599712023039E-2</v>
      </c>
      <c r="W40" s="201">
        <f t="shared" si="20"/>
        <v>2261300</v>
      </c>
      <c r="X40" s="201"/>
      <c r="Y40" s="203">
        <v>59700</v>
      </c>
      <c r="Z40" s="203">
        <f>256100-200</f>
        <v>255900</v>
      </c>
      <c r="AA40" s="204"/>
      <c r="AB40" s="201">
        <f t="shared" si="21"/>
        <v>2321000</v>
      </c>
      <c r="AC40" s="202">
        <f t="shared" si="22"/>
        <v>1.0264007429354796</v>
      </c>
      <c r="AD40" s="202"/>
      <c r="AE40" s="203">
        <v>116000</v>
      </c>
      <c r="AF40" s="201">
        <f t="shared" si="23"/>
        <v>116000</v>
      </c>
      <c r="AG40" s="202">
        <f t="shared" si="24"/>
        <v>5.1297925971786139E-2</v>
      </c>
      <c r="AH40" s="201"/>
      <c r="AI40" s="201">
        <f t="shared" si="25"/>
        <v>0</v>
      </c>
      <c r="AJ40" s="202">
        <f t="shared" si="26"/>
        <v>0</v>
      </c>
      <c r="AK40" s="202"/>
      <c r="AL40" s="201"/>
      <c r="AM40" s="202">
        <f t="shared" si="27"/>
        <v>0</v>
      </c>
      <c r="AN40" s="202"/>
      <c r="AO40" s="201" t="e">
        <f>+AF40+#REF!</f>
        <v>#REF!</v>
      </c>
      <c r="AP40" s="202" t="e">
        <f t="shared" si="28"/>
        <v>#REF!</v>
      </c>
      <c r="AQ40" s="201"/>
    </row>
    <row r="41" spans="1:43" s="169" customFormat="1" ht="20.100000000000001" hidden="1" customHeight="1" x14ac:dyDescent="0.25">
      <c r="A41" s="222"/>
      <c r="B41" s="212" t="s">
        <v>181</v>
      </c>
      <c r="C41" s="212"/>
      <c r="D41" s="212"/>
      <c r="E41" s="210">
        <v>4900500</v>
      </c>
      <c r="F41" s="211"/>
      <c r="G41" s="211">
        <v>393200</v>
      </c>
      <c r="H41" s="211">
        <f t="shared" si="15"/>
        <v>5293700</v>
      </c>
      <c r="I41" s="211"/>
      <c r="J41" s="211"/>
      <c r="K41" s="211"/>
      <c r="L41" s="211">
        <f t="shared" si="16"/>
        <v>0</v>
      </c>
      <c r="M41" s="215">
        <f t="shared" si="17"/>
        <v>0</v>
      </c>
      <c r="N41" s="211"/>
      <c r="O41" s="211">
        <v>0</v>
      </c>
      <c r="P41" s="211"/>
      <c r="Q41" s="211"/>
      <c r="R41" s="211">
        <v>110300</v>
      </c>
      <c r="S41" s="211"/>
      <c r="T41" s="211">
        <f t="shared" si="18"/>
        <v>110300</v>
      </c>
      <c r="U41" s="213">
        <f t="shared" si="19"/>
        <v>2.2507907356392205E-2</v>
      </c>
      <c r="V41" s="212"/>
      <c r="W41" s="211">
        <f t="shared" si="20"/>
        <v>5404000</v>
      </c>
      <c r="X41" s="211"/>
      <c r="Y41" s="211">
        <v>186200</v>
      </c>
      <c r="Z41" s="211"/>
      <c r="AA41" s="211"/>
      <c r="AB41" s="211">
        <f t="shared" si="21"/>
        <v>5590200</v>
      </c>
      <c r="AC41" s="209">
        <f t="shared" si="22"/>
        <v>1.0344559585492228</v>
      </c>
      <c r="AD41" s="209"/>
      <c r="AE41" s="211">
        <v>-78900</v>
      </c>
      <c r="AF41" s="211">
        <f t="shared" si="23"/>
        <v>-78900</v>
      </c>
      <c r="AG41" s="209">
        <f t="shared" si="24"/>
        <v>-1.4600296076980015E-2</v>
      </c>
      <c r="AH41" s="211"/>
      <c r="AI41" s="211">
        <f t="shared" si="25"/>
        <v>0</v>
      </c>
      <c r="AJ41" s="209">
        <f t="shared" si="26"/>
        <v>0</v>
      </c>
      <c r="AK41" s="209"/>
      <c r="AL41" s="211"/>
      <c r="AM41" s="209">
        <f t="shared" si="27"/>
        <v>0</v>
      </c>
      <c r="AN41" s="209"/>
      <c r="AO41" s="211" t="e">
        <f>+AF41+#REF!</f>
        <v>#REF!</v>
      </c>
      <c r="AP41" s="209" t="e">
        <f t="shared" si="28"/>
        <v>#REF!</v>
      </c>
      <c r="AQ41" s="201"/>
    </row>
    <row r="42" spans="1:43" s="169" customFormat="1" ht="6" hidden="1" customHeight="1" x14ac:dyDescent="0.25">
      <c r="A42" s="222"/>
      <c r="E42" s="170"/>
      <c r="F42" s="201"/>
      <c r="G42" s="204"/>
      <c r="H42" s="221"/>
      <c r="I42" s="201"/>
      <c r="J42" s="204"/>
      <c r="K42" s="203"/>
      <c r="L42" s="201"/>
      <c r="M42" s="207"/>
      <c r="N42" s="201"/>
      <c r="O42" s="204"/>
      <c r="P42" s="203"/>
      <c r="Q42" s="203"/>
      <c r="R42" s="203"/>
      <c r="S42" s="201"/>
      <c r="T42" s="221"/>
      <c r="U42" s="205"/>
      <c r="W42" s="170"/>
      <c r="X42" s="201"/>
      <c r="Y42" s="203"/>
      <c r="Z42" s="203"/>
      <c r="AA42" s="204"/>
      <c r="AB42" s="170"/>
      <c r="AC42" s="201"/>
      <c r="AD42" s="201"/>
      <c r="AE42" s="203"/>
      <c r="AF42" s="170"/>
      <c r="AG42" s="201"/>
      <c r="AH42" s="201"/>
      <c r="AI42" s="170"/>
      <c r="AJ42" s="201"/>
      <c r="AK42" s="201"/>
      <c r="AL42" s="170"/>
      <c r="AM42" s="201"/>
      <c r="AN42" s="201"/>
      <c r="AO42" s="170"/>
      <c r="AP42" s="201"/>
      <c r="AQ42" s="201"/>
    </row>
    <row r="43" spans="1:43" s="191" customFormat="1" ht="20.100000000000001" hidden="1" customHeight="1" thickBot="1" x14ac:dyDescent="0.3">
      <c r="B43" s="200" t="s">
        <v>180</v>
      </c>
      <c r="E43" s="193">
        <f>SUM(E31:E42)</f>
        <v>55012900</v>
      </c>
      <c r="G43" s="196">
        <f>SUM(G31:G42)</f>
        <v>-645100</v>
      </c>
      <c r="H43" s="198">
        <f>SUM(H31:H42)</f>
        <v>54367800</v>
      </c>
      <c r="J43" s="196">
        <f>SUM(J31:J42)</f>
        <v>0</v>
      </c>
      <c r="K43" s="195">
        <f>SUM(K31:K42)</f>
        <v>500000</v>
      </c>
      <c r="L43" s="194">
        <f>SUM(L31:L42)</f>
        <v>500000</v>
      </c>
      <c r="M43" s="199">
        <f>L43/$E43</f>
        <v>9.0887773594920465E-3</v>
      </c>
      <c r="O43" s="196">
        <f>SUM(O31:O42)</f>
        <v>0</v>
      </c>
      <c r="P43" s="195">
        <f>SUM(P31:P42)</f>
        <v>0</v>
      </c>
      <c r="Q43" s="195">
        <f>SUM(Q31:Q42)</f>
        <v>110500</v>
      </c>
      <c r="R43" s="195">
        <f>SUM(R31:R42)</f>
        <v>0</v>
      </c>
      <c r="T43" s="198">
        <f>SUM(T31:T42)</f>
        <v>110500</v>
      </c>
      <c r="U43" s="197">
        <f>T43/$E43</f>
        <v>2.0086197964477421E-3</v>
      </c>
      <c r="W43" s="193">
        <f>SUM(W31:W42)</f>
        <v>54478300</v>
      </c>
      <c r="X43" s="194"/>
      <c r="Y43" s="195">
        <f>SUM(Y31:Y42)</f>
        <v>1699600</v>
      </c>
      <c r="Z43" s="195">
        <f>SUM(Z31:Z42)</f>
        <v>849900</v>
      </c>
      <c r="AA43" s="196">
        <f>SUM(AA31:AA42)</f>
        <v>-100</v>
      </c>
      <c r="AB43" s="193">
        <f>SUM(AB31:AB41)</f>
        <v>56177900</v>
      </c>
      <c r="AC43" s="192">
        <f>+AB43/$W43</f>
        <v>1.0311977429545343</v>
      </c>
      <c r="AD43" s="192"/>
      <c r="AE43" s="195">
        <f>SUM(AE31:AE42)</f>
        <v>1672100</v>
      </c>
      <c r="AF43" s="193">
        <f>SUM(AF31:AF41)</f>
        <v>1672100</v>
      </c>
      <c r="AG43" s="192">
        <f>+AF43/$W43</f>
        <v>3.0692954809529667E-2</v>
      </c>
      <c r="AH43" s="194"/>
      <c r="AI43" s="193">
        <f>SUM(AI31:AI41)</f>
        <v>0</v>
      </c>
      <c r="AJ43" s="192">
        <f>+AI43/$W43</f>
        <v>0</v>
      </c>
      <c r="AK43" s="192"/>
      <c r="AL43" s="193"/>
      <c r="AM43" s="192">
        <f>+AL43/$W43</f>
        <v>0</v>
      </c>
      <c r="AN43" s="192"/>
      <c r="AO43" s="193" t="e">
        <f>SUM(AO25:AO42)</f>
        <v>#REF!</v>
      </c>
      <c r="AP43" s="192" t="e">
        <f>+AO43/$W43</f>
        <v>#REF!</v>
      </c>
    </row>
    <row r="44" spans="1:43" s="169" customFormat="1" ht="20.100000000000001" hidden="1" customHeight="1" x14ac:dyDescent="0.25">
      <c r="B44" s="216"/>
      <c r="E44" s="170"/>
      <c r="F44" s="170"/>
      <c r="G44" s="170"/>
      <c r="H44" s="170"/>
      <c r="J44" s="1041" t="s">
        <v>179</v>
      </c>
      <c r="K44" s="1041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041" t="s">
        <v>179</v>
      </c>
      <c r="Z44" s="1041"/>
      <c r="AA44" s="1041"/>
      <c r="AB44" s="165"/>
      <c r="AC44" s="165"/>
      <c r="AD44" s="165"/>
      <c r="AE44" s="220" t="s">
        <v>179</v>
      </c>
      <c r="AF44" s="218"/>
      <c r="AG44" s="217"/>
      <c r="AH44" s="219"/>
      <c r="AI44" s="218"/>
      <c r="AJ44" s="217"/>
      <c r="AK44" s="217"/>
      <c r="AL44" s="218"/>
      <c r="AM44" s="217"/>
      <c r="AN44" s="217"/>
      <c r="AO44" s="218"/>
      <c r="AP44" s="217"/>
    </row>
    <row r="45" spans="1:43" s="169" customFormat="1" ht="6" hidden="1" customHeight="1" x14ac:dyDescent="0.25">
      <c r="A45" s="208"/>
      <c r="E45" s="201"/>
      <c r="F45" s="201"/>
      <c r="G45" s="204"/>
      <c r="H45" s="206"/>
      <c r="I45" s="201"/>
      <c r="J45" s="204"/>
      <c r="K45" s="203"/>
      <c r="L45" s="201"/>
      <c r="N45" s="201"/>
      <c r="O45" s="204"/>
      <c r="P45" s="203"/>
      <c r="Q45" s="203"/>
      <c r="R45" s="203"/>
      <c r="S45" s="201"/>
      <c r="T45" s="206"/>
      <c r="U45" s="188"/>
      <c r="W45" s="201"/>
      <c r="X45" s="201"/>
      <c r="Y45" s="203"/>
      <c r="Z45" s="203"/>
      <c r="AA45" s="204"/>
      <c r="AB45" s="201"/>
      <c r="AC45" s="201"/>
      <c r="AD45" s="201"/>
      <c r="AE45" s="203"/>
      <c r="AF45" s="201"/>
      <c r="AG45" s="201"/>
      <c r="AH45" s="201"/>
      <c r="AI45" s="201"/>
      <c r="AJ45" s="201"/>
      <c r="AK45" s="201"/>
      <c r="AL45" s="201"/>
      <c r="AM45" s="201"/>
      <c r="AN45" s="201"/>
      <c r="AO45" s="201"/>
      <c r="AP45" s="201"/>
      <c r="AQ45" s="201"/>
    </row>
    <row r="46" spans="1:43" s="169" customFormat="1" ht="20.100000000000001" hidden="1" customHeight="1" x14ac:dyDescent="0.25">
      <c r="A46" s="216" t="s">
        <v>178</v>
      </c>
      <c r="E46" s="201"/>
      <c r="F46" s="201"/>
      <c r="G46" s="204"/>
      <c r="H46" s="206"/>
      <c r="I46" s="201"/>
      <c r="J46" s="204"/>
      <c r="K46" s="203"/>
      <c r="L46" s="201"/>
      <c r="N46" s="201"/>
      <c r="O46" s="204"/>
      <c r="P46" s="203"/>
      <c r="Q46" s="203"/>
      <c r="R46" s="203"/>
      <c r="S46" s="201"/>
      <c r="T46" s="206"/>
      <c r="U46" s="188"/>
      <c r="W46" s="201"/>
      <c r="X46" s="201"/>
      <c r="Y46" s="203"/>
      <c r="Z46" s="203"/>
      <c r="AA46" s="204"/>
      <c r="AB46" s="201"/>
      <c r="AC46" s="201"/>
      <c r="AD46" s="201"/>
      <c r="AE46" s="203"/>
      <c r="AF46" s="201"/>
      <c r="AG46" s="201"/>
      <c r="AH46" s="201"/>
      <c r="AI46" s="201"/>
      <c r="AJ46" s="201"/>
      <c r="AK46" s="201"/>
      <c r="AL46" s="201"/>
      <c r="AM46" s="201"/>
      <c r="AN46" s="201"/>
      <c r="AO46" s="201"/>
      <c r="AP46" s="201"/>
      <c r="AQ46" s="201"/>
    </row>
    <row r="47" spans="1:43" s="169" customFormat="1" ht="15.75" hidden="1" x14ac:dyDescent="0.25">
      <c r="A47" s="208"/>
      <c r="B47" s="212" t="s">
        <v>177</v>
      </c>
      <c r="C47" s="212"/>
      <c r="D47" s="212"/>
      <c r="E47" s="211">
        <f>18949200</f>
        <v>18949200</v>
      </c>
      <c r="F47" s="211"/>
      <c r="G47" s="211">
        <v>-1540700</v>
      </c>
      <c r="H47" s="210">
        <f>+E47+G47</f>
        <v>17408500</v>
      </c>
      <c r="I47" s="211"/>
      <c r="J47" s="211"/>
      <c r="K47" s="211"/>
      <c r="L47" s="211">
        <f>SUM(J47:K47)</f>
        <v>0</v>
      </c>
      <c r="M47" s="215">
        <f>L47/$E47</f>
        <v>0</v>
      </c>
      <c r="N47" s="211"/>
      <c r="O47" s="211"/>
      <c r="P47" s="211"/>
      <c r="Q47" s="211"/>
      <c r="R47" s="211"/>
      <c r="S47" s="211"/>
      <c r="T47" s="214">
        <f>SUM(O47:R47)</f>
        <v>0</v>
      </c>
      <c r="U47" s="213">
        <f>T47/$E47</f>
        <v>0</v>
      </c>
      <c r="V47" s="212"/>
      <c r="W47" s="210">
        <v>21201900</v>
      </c>
      <c r="X47" s="211"/>
      <c r="Y47" s="211">
        <v>321200</v>
      </c>
      <c r="Z47" s="211">
        <f>900000</f>
        <v>900000</v>
      </c>
      <c r="AA47" s="211">
        <v>-1000</v>
      </c>
      <c r="AB47" s="210">
        <f>-3793400+81800</f>
        <v>-3711600</v>
      </c>
      <c r="AC47" s="209">
        <f>+AB47/$W47</f>
        <v>-0.17505978237799444</v>
      </c>
      <c r="AD47" s="209"/>
      <c r="AE47" s="211">
        <v>1280000</v>
      </c>
      <c r="AF47" s="210">
        <v>0</v>
      </c>
      <c r="AG47" s="209">
        <f>+AF47/$W47</f>
        <v>0</v>
      </c>
      <c r="AH47" s="211"/>
      <c r="AI47" s="210">
        <v>0</v>
      </c>
      <c r="AJ47" s="209">
        <f>+AI47/$W47</f>
        <v>0</v>
      </c>
      <c r="AK47" s="209"/>
      <c r="AL47" s="210"/>
      <c r="AM47" s="209">
        <f>+AL47/$W47</f>
        <v>0</v>
      </c>
      <c r="AN47" s="209"/>
      <c r="AO47" s="210" t="e">
        <f>+AF47+#REF!+AB47</f>
        <v>#REF!</v>
      </c>
      <c r="AP47" s="209" t="e">
        <f>+AO47/$W47</f>
        <v>#REF!</v>
      </c>
      <c r="AQ47" s="201"/>
    </row>
    <row r="48" spans="1:43" s="169" customFormat="1" ht="15.75" hidden="1" x14ac:dyDescent="0.25">
      <c r="A48" s="208"/>
      <c r="B48" s="169" t="s">
        <v>176</v>
      </c>
      <c r="E48" s="201">
        <f>638500</f>
        <v>638500</v>
      </c>
      <c r="F48" s="201"/>
      <c r="G48" s="204">
        <v>-57500</v>
      </c>
      <c r="H48" s="206">
        <f>+E48+G48</f>
        <v>581000</v>
      </c>
      <c r="I48" s="201"/>
      <c r="J48" s="204" t="s">
        <v>175</v>
      </c>
      <c r="K48" s="203"/>
      <c r="L48" s="201">
        <f>SUM(J48:K48)</f>
        <v>0</v>
      </c>
      <c r="M48" s="207">
        <f>L48/$E48</f>
        <v>0</v>
      </c>
      <c r="N48" s="201"/>
      <c r="O48" s="204"/>
      <c r="P48" s="203"/>
      <c r="Q48" s="203"/>
      <c r="R48" s="203"/>
      <c r="S48" s="201"/>
      <c r="T48" s="206">
        <f>SUM(O48:R48)</f>
        <v>0</v>
      </c>
      <c r="U48" s="205">
        <f>T48/$E48</f>
        <v>0</v>
      </c>
      <c r="W48" s="201">
        <v>701500</v>
      </c>
      <c r="X48" s="201"/>
      <c r="Y48" s="203">
        <v>24400</v>
      </c>
      <c r="Z48" s="203">
        <f>220000+4100</f>
        <v>224100</v>
      </c>
      <c r="AA48" s="204"/>
      <c r="AB48" s="201">
        <f>-120500-20000</f>
        <v>-140500</v>
      </c>
      <c r="AC48" s="202">
        <f>+AB48/$W48</f>
        <v>-0.20028510334996436</v>
      </c>
      <c r="AD48" s="202"/>
      <c r="AE48" s="203"/>
      <c r="AF48" s="201">
        <v>0</v>
      </c>
      <c r="AG48" s="202">
        <f>+AF48/$W48</f>
        <v>0</v>
      </c>
      <c r="AH48" s="201"/>
      <c r="AI48" s="201">
        <v>0</v>
      </c>
      <c r="AJ48" s="202">
        <f>+AI48/$W48</f>
        <v>0</v>
      </c>
      <c r="AK48" s="202"/>
      <c r="AL48" s="201"/>
      <c r="AM48" s="202">
        <f>+AL48/$W48</f>
        <v>0</v>
      </c>
      <c r="AN48" s="202"/>
      <c r="AO48" s="170" t="e">
        <f>+AF48+#REF!+AB48</f>
        <v>#REF!</v>
      </c>
      <c r="AP48" s="202" t="e">
        <f>+AO48/$W48</f>
        <v>#REF!</v>
      </c>
      <c r="AQ48" s="201"/>
    </row>
    <row r="49" spans="1:42" s="169" customFormat="1" ht="6" hidden="1" customHeight="1" x14ac:dyDescent="0.25">
      <c r="A49" s="190"/>
      <c r="B49" s="190" t="s">
        <v>174</v>
      </c>
      <c r="G49" s="187"/>
      <c r="H49" s="189"/>
      <c r="J49" s="187" t="s">
        <v>173</v>
      </c>
      <c r="K49" s="186"/>
      <c r="O49" s="187"/>
      <c r="P49" s="186"/>
      <c r="Q49" s="186"/>
      <c r="R49" s="186"/>
      <c r="T49" s="189"/>
      <c r="U49" s="188"/>
      <c r="Y49" s="186"/>
      <c r="Z49" s="186"/>
      <c r="AA49" s="187"/>
      <c r="AE49" s="186"/>
    </row>
    <row r="50" spans="1:42" s="191" customFormat="1" ht="20.100000000000001" hidden="1" customHeight="1" x14ac:dyDescent="0.25">
      <c r="B50" s="200" t="s">
        <v>172</v>
      </c>
      <c r="E50" s="193">
        <f>SUM(E47:E49)</f>
        <v>19587700</v>
      </c>
      <c r="G50" s="196">
        <f>SUM(G47:G49)</f>
        <v>-1598200</v>
      </c>
      <c r="H50" s="198">
        <f>SUM(H47:H49)</f>
        <v>17989500</v>
      </c>
      <c r="J50" s="196" t="s">
        <v>171</v>
      </c>
      <c r="K50" s="195">
        <f>SUM(K47:K49)</f>
        <v>0</v>
      </c>
      <c r="L50" s="194">
        <f>SUM(L47:L49)</f>
        <v>0</v>
      </c>
      <c r="M50" s="199">
        <f>L50/$E50</f>
        <v>0</v>
      </c>
      <c r="O50" s="196">
        <f>SUM(O47:O49)</f>
        <v>0</v>
      </c>
      <c r="P50" s="195">
        <f>SUM(P47:P49)</f>
        <v>0</v>
      </c>
      <c r="Q50" s="195"/>
      <c r="R50" s="195">
        <f>SUM(R47:R49)</f>
        <v>0</v>
      </c>
      <c r="T50" s="198">
        <f>SUM(T47:T49)</f>
        <v>0</v>
      </c>
      <c r="U50" s="197">
        <f>T50/$E50</f>
        <v>0</v>
      </c>
      <c r="W50" s="193">
        <f>SUM(W47:W49)</f>
        <v>21903400</v>
      </c>
      <c r="X50" s="194"/>
      <c r="Y50" s="195">
        <f>SUM(Y47:Y49)</f>
        <v>345600</v>
      </c>
      <c r="Z50" s="195">
        <f>SUM(Z47:Z49)</f>
        <v>1124100</v>
      </c>
      <c r="AA50" s="196">
        <f>SUM(AA47:AA49)</f>
        <v>-1000</v>
      </c>
      <c r="AB50" s="193">
        <f>SUM(AB47:AB49)</f>
        <v>-3852100</v>
      </c>
      <c r="AC50" s="192">
        <f>+AB50/$W50</f>
        <v>-0.17586767351187488</v>
      </c>
      <c r="AD50" s="192"/>
      <c r="AE50" s="195">
        <f>SUM(AE47:AE49)</f>
        <v>1280000</v>
      </c>
      <c r="AF50" s="193">
        <f>SUM(AF47:AF49)</f>
        <v>0</v>
      </c>
      <c r="AG50" s="192">
        <f>+AF50/$W50</f>
        <v>0</v>
      </c>
      <c r="AH50" s="194"/>
      <c r="AI50" s="193">
        <f>SUM(AI47:AI49)</f>
        <v>0</v>
      </c>
      <c r="AJ50" s="192">
        <f>+AI50/$W50</f>
        <v>0</v>
      </c>
      <c r="AK50" s="192"/>
      <c r="AL50" s="193"/>
      <c r="AM50" s="192">
        <f>+AL50/$W50</f>
        <v>0</v>
      </c>
      <c r="AN50" s="192"/>
      <c r="AO50" s="193" t="e">
        <f>SUM(AO47:AO49)</f>
        <v>#REF!</v>
      </c>
      <c r="AP50" s="192" t="e">
        <f>+AO50/$W50</f>
        <v>#REF!</v>
      </c>
    </row>
    <row r="51" spans="1:42" s="169" customFormat="1" ht="6" hidden="1" customHeight="1" x14ac:dyDescent="0.25">
      <c r="A51" s="190"/>
      <c r="B51" s="190" t="s">
        <v>170</v>
      </c>
      <c r="G51" s="187"/>
      <c r="H51" s="189"/>
      <c r="J51" s="187" t="s">
        <v>169</v>
      </c>
      <c r="K51" s="186"/>
      <c r="O51" s="187"/>
      <c r="P51" s="186"/>
      <c r="Q51" s="186"/>
      <c r="R51" s="186"/>
      <c r="T51" s="189"/>
      <c r="U51" s="188"/>
      <c r="Y51" s="186"/>
      <c r="Z51" s="186"/>
      <c r="AA51" s="187"/>
      <c r="AE51" s="186"/>
    </row>
    <row r="52" spans="1:42" s="176" customFormat="1" ht="20.100000000000001" hidden="1" customHeight="1" thickBot="1" x14ac:dyDescent="0.3">
      <c r="A52" s="185" t="s">
        <v>168</v>
      </c>
      <c r="B52" s="176" t="s">
        <v>167</v>
      </c>
      <c r="E52" s="178">
        <f>+E50+E43+E24</f>
        <v>731079700</v>
      </c>
      <c r="F52" s="176">
        <f>+F50+F43+F24</f>
        <v>0</v>
      </c>
      <c r="G52" s="182">
        <f>+G50+G43+G24</f>
        <v>-56486000</v>
      </c>
      <c r="H52" s="180">
        <f>+H50+H43+H24</f>
        <v>674593700</v>
      </c>
      <c r="I52" s="176">
        <f>+I50+I43+I24</f>
        <v>0</v>
      </c>
      <c r="J52" s="182" t="s">
        <v>166</v>
      </c>
      <c r="K52" s="181">
        <f t="shared" ref="K52:P52" si="29">+K50+K43+K24</f>
        <v>500000</v>
      </c>
      <c r="L52" s="184">
        <f t="shared" si="29"/>
        <v>-18581000</v>
      </c>
      <c r="M52" s="183">
        <f t="shared" si="29"/>
        <v>-1.9976885203108957E-2</v>
      </c>
      <c r="N52" s="176">
        <f t="shared" si="29"/>
        <v>0</v>
      </c>
      <c r="O52" s="182">
        <f t="shared" si="29"/>
        <v>0</v>
      </c>
      <c r="P52" s="181">
        <f t="shared" si="29"/>
        <v>0</v>
      </c>
      <c r="Q52" s="181"/>
      <c r="R52" s="181">
        <f>+R50+R43+R24</f>
        <v>0</v>
      </c>
      <c r="S52" s="176">
        <f>+S50+S43+S24</f>
        <v>0</v>
      </c>
      <c r="T52" s="180">
        <f>+T50+T43+T24</f>
        <v>110500</v>
      </c>
      <c r="U52" s="179">
        <f>T52/$E52</f>
        <v>1.5114631140763449E-4</v>
      </c>
      <c r="W52" s="178">
        <f t="shared" ref="W52:AB52" si="30">+W24+W50</f>
        <v>863899169</v>
      </c>
      <c r="X52" s="178">
        <f t="shared" si="30"/>
        <v>0</v>
      </c>
      <c r="Y52" s="178">
        <f t="shared" si="30"/>
        <v>25326000</v>
      </c>
      <c r="Z52" s="178">
        <f t="shared" si="30"/>
        <v>7791900</v>
      </c>
      <c r="AA52" s="178">
        <f t="shared" si="30"/>
        <v>-58500</v>
      </c>
      <c r="AB52" s="178">
        <f t="shared" si="30"/>
        <v>2275982</v>
      </c>
      <c r="AC52" s="177">
        <f>+AB52/$W52</f>
        <v>2.6345458841389394E-3</v>
      </c>
      <c r="AD52" s="178">
        <f>+AD24+AD50</f>
        <v>0</v>
      </c>
      <c r="AE52" s="178">
        <f>+AE24+AE50</f>
        <v>-1513600</v>
      </c>
      <c r="AF52" s="178">
        <f>+AF24+AF50</f>
        <v>1793953.66</v>
      </c>
      <c r="AG52" s="177">
        <f>+AF52/$W52</f>
        <v>2.0765775965227258E-3</v>
      </c>
      <c r="AH52" s="178">
        <f>+AH24+AH50</f>
        <v>0</v>
      </c>
      <c r="AI52" s="178">
        <f>+AI24+AI50</f>
        <v>1226000</v>
      </c>
      <c r="AJ52" s="177">
        <f>+AI52/$W52</f>
        <v>1.4191470995615692E-3</v>
      </c>
      <c r="AK52" s="177"/>
      <c r="AL52" s="178"/>
      <c r="AM52" s="177">
        <f>+AL52/$W52</f>
        <v>0</v>
      </c>
      <c r="AN52" s="177"/>
      <c r="AO52" s="178" t="e">
        <f>+AO24+AO50</f>
        <v>#REF!</v>
      </c>
      <c r="AP52" s="177" t="e">
        <f>+AO52/$W52</f>
        <v>#REF!</v>
      </c>
    </row>
    <row r="53" spans="1:42" s="171" customFormat="1" ht="15.95" hidden="1" customHeight="1" thickTop="1" x14ac:dyDescent="0.3">
      <c r="B53" s="171" t="s">
        <v>165</v>
      </c>
      <c r="E53" s="172"/>
      <c r="G53" s="174"/>
      <c r="H53" s="175"/>
      <c r="J53" s="174" t="s">
        <v>164</v>
      </c>
      <c r="K53" s="173"/>
      <c r="O53" s="174"/>
      <c r="P53" s="173"/>
      <c r="Q53" s="173"/>
      <c r="R53" s="173"/>
      <c r="T53" s="175"/>
      <c r="X53" s="172"/>
      <c r="Y53" s="173"/>
      <c r="Z53" s="173"/>
      <c r="AA53" s="174"/>
      <c r="AC53" s="172"/>
      <c r="AD53" s="172"/>
      <c r="AE53" s="173"/>
      <c r="AG53" s="172"/>
      <c r="AH53" s="172"/>
      <c r="AJ53" s="172"/>
      <c r="AK53" s="172"/>
      <c r="AM53" s="172"/>
      <c r="AN53" s="172"/>
      <c r="AP53" s="172"/>
    </row>
    <row r="54" spans="1:42" s="169" customFormat="1" ht="20.100000000000001" customHeight="1" x14ac:dyDescent="0.25">
      <c r="W54" s="170"/>
    </row>
    <row r="55" spans="1:42" s="169" customFormat="1" ht="20.100000000000001" customHeight="1" x14ac:dyDescent="0.25">
      <c r="AL55" s="170"/>
    </row>
    <row r="56" spans="1:42" s="169" customFormat="1" ht="20.100000000000001" customHeight="1" x14ac:dyDescent="0.25"/>
    <row r="57" spans="1:42" s="169" customFormat="1" ht="20.100000000000001" customHeight="1" x14ac:dyDescent="0.25"/>
    <row r="58" spans="1:42" s="169" customFormat="1" ht="20.100000000000001" customHeight="1" x14ac:dyDescent="0.25"/>
    <row r="59" spans="1:42" s="169" customFormat="1" ht="20.100000000000001" customHeight="1" x14ac:dyDescent="0.25"/>
    <row r="60" spans="1:42" s="169" customFormat="1" ht="20.100000000000001" customHeight="1" x14ac:dyDescent="0.25"/>
    <row r="61" spans="1:42" s="169" customFormat="1" ht="20.100000000000001" customHeight="1" x14ac:dyDescent="0.25"/>
    <row r="62" spans="1:42" s="169" customFormat="1" ht="20.100000000000001" customHeight="1" x14ac:dyDescent="0.25"/>
    <row r="63" spans="1:42" s="169" customFormat="1" ht="20.100000000000001" customHeight="1" x14ac:dyDescent="0.25"/>
    <row r="64" spans="1:42" s="169" customFormat="1" ht="20.100000000000001" customHeight="1" x14ac:dyDescent="0.25"/>
    <row r="65" s="169" customFormat="1" ht="20.100000000000001" customHeight="1" x14ac:dyDescent="0.25"/>
    <row r="66" s="169" customFormat="1" ht="20.100000000000001" customHeight="1" x14ac:dyDescent="0.25"/>
    <row r="67" s="169" customFormat="1" ht="20.100000000000001" customHeight="1" x14ac:dyDescent="0.25"/>
    <row r="68" s="169" customFormat="1" ht="20.100000000000001" customHeight="1" x14ac:dyDescent="0.25"/>
    <row r="69" s="169" customFormat="1" ht="20.100000000000001" customHeight="1" x14ac:dyDescent="0.25"/>
    <row r="70" s="169" customFormat="1" ht="20.100000000000001" customHeight="1" x14ac:dyDescent="0.25"/>
    <row r="71" s="169" customFormat="1" ht="20.100000000000001" customHeight="1" x14ac:dyDescent="0.25"/>
    <row r="72" s="169" customFormat="1" ht="20.100000000000001" customHeight="1" x14ac:dyDescent="0.25"/>
    <row r="73" s="169" customFormat="1" ht="20.100000000000001" customHeight="1" x14ac:dyDescent="0.25"/>
    <row r="74" s="169" customFormat="1" ht="20.100000000000001" customHeight="1" x14ac:dyDescent="0.25"/>
    <row r="75" s="169" customFormat="1" ht="20.100000000000001" customHeight="1" x14ac:dyDescent="0.25"/>
    <row r="76" s="169" customFormat="1" ht="20.100000000000001" customHeight="1" x14ac:dyDescent="0.25"/>
    <row r="77" s="169" customFormat="1" ht="20.100000000000001" customHeight="1" x14ac:dyDescent="0.25"/>
    <row r="78" s="169" customFormat="1" ht="20.100000000000001" customHeight="1" x14ac:dyDescent="0.25"/>
    <row r="79" s="169" customFormat="1" ht="20.100000000000001" customHeight="1" x14ac:dyDescent="0.25"/>
    <row r="80" s="169" customFormat="1" ht="20.100000000000001" customHeight="1" x14ac:dyDescent="0.25"/>
    <row r="81" s="169" customFormat="1" ht="20.100000000000001" customHeight="1" x14ac:dyDescent="0.25"/>
    <row r="82" s="169" customFormat="1" ht="20.100000000000001" customHeight="1" x14ac:dyDescent="0.25"/>
    <row r="83" s="169" customFormat="1" ht="20.100000000000001" customHeight="1" x14ac:dyDescent="0.25"/>
    <row r="84" s="169" customFormat="1" ht="20.100000000000001" customHeight="1" x14ac:dyDescent="0.25"/>
    <row r="85" s="169" customFormat="1" ht="20.100000000000001" customHeight="1" x14ac:dyDescent="0.25"/>
    <row r="86" s="169" customFormat="1" ht="20.100000000000001" customHeight="1" x14ac:dyDescent="0.25"/>
    <row r="87" s="169" customFormat="1" ht="20.100000000000001" customHeight="1" x14ac:dyDescent="0.25"/>
    <row r="88" s="169" customFormat="1" ht="20.100000000000001" customHeight="1" x14ac:dyDescent="0.25"/>
    <row r="89" s="169" customFormat="1" ht="20.100000000000001" customHeight="1" x14ac:dyDescent="0.25"/>
    <row r="90" s="169" customFormat="1" ht="20.100000000000001" customHeight="1" x14ac:dyDescent="0.25"/>
    <row r="91" s="169" customFormat="1" ht="20.100000000000001" customHeight="1" x14ac:dyDescent="0.25"/>
    <row r="92" s="169" customFormat="1" ht="20.100000000000001" customHeight="1" x14ac:dyDescent="0.25"/>
    <row r="93" s="169" customFormat="1" ht="20.100000000000001" customHeight="1" x14ac:dyDescent="0.25"/>
    <row r="94" s="169" customFormat="1" ht="20.100000000000001" customHeight="1" x14ac:dyDescent="0.25"/>
    <row r="95" s="169" customFormat="1" ht="20.100000000000001" customHeight="1" x14ac:dyDescent="0.25"/>
    <row r="96" s="169" customFormat="1" ht="20.100000000000001" customHeight="1" x14ac:dyDescent="0.25"/>
    <row r="97" s="169" customFormat="1" ht="20.100000000000001" customHeight="1" x14ac:dyDescent="0.25"/>
    <row r="98" s="169" customFormat="1" ht="20.100000000000001" customHeight="1" x14ac:dyDescent="0.25"/>
    <row r="99" s="169" customFormat="1" ht="20.100000000000001" customHeight="1" x14ac:dyDescent="0.25"/>
    <row r="100" s="169" customFormat="1" ht="20.100000000000001" customHeight="1" x14ac:dyDescent="0.25"/>
    <row r="101" s="169" customFormat="1" ht="20.100000000000001" customHeight="1" x14ac:dyDescent="0.25"/>
    <row r="102" s="169" customFormat="1" ht="20.100000000000001" customHeight="1" x14ac:dyDescent="0.25"/>
    <row r="103" s="169" customFormat="1" ht="20.100000000000001" customHeight="1" x14ac:dyDescent="0.25"/>
    <row r="104" s="169" customFormat="1" ht="20.100000000000001" customHeight="1" x14ac:dyDescent="0.25"/>
    <row r="105" s="169" customFormat="1" ht="20.100000000000001" customHeight="1" x14ac:dyDescent="0.25"/>
    <row r="106" s="169" customFormat="1" ht="20.100000000000001" customHeight="1" x14ac:dyDescent="0.25"/>
    <row r="107" s="169" customFormat="1" ht="20.100000000000001" customHeight="1" x14ac:dyDescent="0.25"/>
    <row r="108" s="169" customFormat="1" ht="20.100000000000001" customHeight="1" x14ac:dyDescent="0.25"/>
    <row r="109" s="169" customFormat="1" ht="20.100000000000001" customHeight="1" x14ac:dyDescent="0.25"/>
    <row r="110" s="169" customFormat="1" ht="20.100000000000001" customHeight="1" x14ac:dyDescent="0.25"/>
    <row r="111" s="169" customFormat="1" ht="20.100000000000001" customHeight="1" x14ac:dyDescent="0.25"/>
    <row r="112" s="169" customFormat="1" ht="20.100000000000001" customHeight="1" x14ac:dyDescent="0.25"/>
    <row r="113" s="169" customFormat="1" ht="20.100000000000001" customHeight="1" x14ac:dyDescent="0.25"/>
    <row r="114" s="169" customFormat="1" ht="20.100000000000001" customHeight="1" x14ac:dyDescent="0.25"/>
    <row r="115" s="169" customFormat="1" ht="20.100000000000001" customHeight="1" x14ac:dyDescent="0.25"/>
    <row r="116" s="169" customFormat="1" ht="20.100000000000001" customHeight="1" x14ac:dyDescent="0.25"/>
    <row r="117" s="169" customFormat="1" ht="20.100000000000001" customHeight="1" x14ac:dyDescent="0.25"/>
    <row r="118" s="169" customFormat="1" ht="20.100000000000001" customHeight="1" x14ac:dyDescent="0.25"/>
    <row r="119" s="169" customFormat="1" ht="20.100000000000001" customHeight="1" x14ac:dyDescent="0.25"/>
    <row r="120" s="169" customFormat="1" ht="20.100000000000001" customHeight="1" x14ac:dyDescent="0.25"/>
    <row r="121" s="169" customFormat="1" ht="20.100000000000001" customHeight="1" x14ac:dyDescent="0.25"/>
    <row r="122" s="169" customFormat="1" ht="20.100000000000001" customHeight="1" x14ac:dyDescent="0.25"/>
    <row r="123" s="169" customFormat="1" ht="20.100000000000001" customHeight="1" x14ac:dyDescent="0.25"/>
    <row r="124" s="169" customFormat="1" ht="20.100000000000001" customHeight="1" x14ac:dyDescent="0.25"/>
    <row r="125" s="169" customFormat="1" ht="20.100000000000001" customHeight="1" x14ac:dyDescent="0.25"/>
    <row r="126" s="169" customFormat="1" ht="20.100000000000001" customHeight="1" x14ac:dyDescent="0.25"/>
    <row r="127" s="169" customFormat="1" ht="20.100000000000001" customHeight="1" x14ac:dyDescent="0.25"/>
    <row r="128" s="169" customFormat="1" ht="20.100000000000001" customHeight="1" x14ac:dyDescent="0.25"/>
    <row r="129" s="169" customFormat="1" ht="20.100000000000001" customHeight="1" x14ac:dyDescent="0.25"/>
    <row r="130" s="169" customFormat="1" ht="20.100000000000001" customHeight="1" x14ac:dyDescent="0.25"/>
    <row r="131" s="169" customFormat="1" ht="20.100000000000001" customHeight="1" x14ac:dyDescent="0.25"/>
    <row r="132" s="169" customFormat="1" ht="20.100000000000001" customHeight="1" x14ac:dyDescent="0.25"/>
    <row r="133" s="169" customFormat="1" ht="20.100000000000001" customHeight="1" x14ac:dyDescent="0.25"/>
    <row r="134" s="169" customFormat="1" ht="20.100000000000001" customHeight="1" x14ac:dyDescent="0.25"/>
    <row r="135" s="169" customFormat="1" ht="20.100000000000001" customHeight="1" x14ac:dyDescent="0.25"/>
    <row r="136" s="169" customFormat="1" ht="20.100000000000001" customHeight="1" x14ac:dyDescent="0.25"/>
    <row r="137" s="169" customFormat="1" ht="20.100000000000001" customHeight="1" x14ac:dyDescent="0.25"/>
    <row r="138" s="169" customFormat="1" ht="20.100000000000001" customHeight="1" x14ac:dyDescent="0.25"/>
    <row r="139" s="169" customFormat="1" ht="20.100000000000001" customHeight="1" x14ac:dyDescent="0.25"/>
    <row r="140" s="169" customFormat="1" ht="20.100000000000001" customHeight="1" x14ac:dyDescent="0.25"/>
    <row r="141" s="169" customFormat="1" ht="20.100000000000001" customHeight="1" x14ac:dyDescent="0.25"/>
    <row r="142" s="169" customFormat="1" ht="20.100000000000001" customHeight="1" x14ac:dyDescent="0.25"/>
    <row r="143" s="169" customFormat="1" ht="20.100000000000001" customHeight="1" x14ac:dyDescent="0.25"/>
    <row r="144" s="169" customFormat="1" ht="20.100000000000001" customHeight="1" x14ac:dyDescent="0.25"/>
    <row r="145" s="169" customFormat="1" ht="20.100000000000001" customHeight="1" x14ac:dyDescent="0.25"/>
    <row r="146" s="169" customFormat="1" ht="20.100000000000001" customHeight="1" x14ac:dyDescent="0.25"/>
    <row r="147" s="169" customFormat="1" ht="20.100000000000001" customHeight="1" x14ac:dyDescent="0.25"/>
    <row r="148" s="169" customFormat="1" ht="20.100000000000001" customHeight="1" x14ac:dyDescent="0.25"/>
    <row r="149" s="169" customFormat="1" ht="20.100000000000001" customHeight="1" x14ac:dyDescent="0.25"/>
    <row r="150" s="169" customFormat="1" ht="20.100000000000001" customHeight="1" x14ac:dyDescent="0.25"/>
    <row r="151" s="169" customFormat="1" ht="20.100000000000001" customHeight="1" x14ac:dyDescent="0.25"/>
    <row r="152" s="169" customFormat="1" ht="20.100000000000001" customHeight="1" x14ac:dyDescent="0.25"/>
    <row r="153" s="169" customFormat="1" ht="20.100000000000001" customHeight="1" x14ac:dyDescent="0.25"/>
    <row r="154" s="169" customFormat="1" ht="20.100000000000001" customHeight="1" x14ac:dyDescent="0.25"/>
    <row r="155" s="169" customFormat="1" ht="20.100000000000001" customHeight="1" x14ac:dyDescent="0.25"/>
    <row r="156" s="169" customFormat="1" ht="20.100000000000001" customHeight="1" x14ac:dyDescent="0.25"/>
    <row r="157" s="169" customFormat="1" ht="20.100000000000001" customHeight="1" x14ac:dyDescent="0.25"/>
    <row r="158" s="169" customFormat="1" ht="20.100000000000001" customHeight="1" x14ac:dyDescent="0.25"/>
    <row r="159" s="169" customFormat="1" ht="20.100000000000001" customHeight="1" x14ac:dyDescent="0.25"/>
    <row r="160" s="169" customFormat="1" ht="20.100000000000001" customHeight="1" x14ac:dyDescent="0.25"/>
    <row r="161" s="169" customFormat="1" ht="20.100000000000001" customHeight="1" x14ac:dyDescent="0.25"/>
    <row r="162" s="169" customFormat="1" ht="20.100000000000001" customHeight="1" x14ac:dyDescent="0.25"/>
    <row r="163" s="169" customFormat="1" ht="20.100000000000001" customHeight="1" x14ac:dyDescent="0.25"/>
    <row r="164" s="169" customFormat="1" ht="20.100000000000001" customHeight="1" x14ac:dyDescent="0.25"/>
    <row r="165" s="169" customFormat="1" ht="20.100000000000001" customHeight="1" x14ac:dyDescent="0.25"/>
    <row r="166" s="169" customFormat="1" ht="20.100000000000001" customHeight="1" x14ac:dyDescent="0.25"/>
    <row r="167" s="169" customFormat="1" ht="20.100000000000001" customHeight="1" x14ac:dyDescent="0.25"/>
    <row r="168" s="169" customFormat="1" ht="20.100000000000001" customHeight="1" x14ac:dyDescent="0.25"/>
    <row r="169" s="169" customFormat="1" ht="20.100000000000001" customHeight="1" x14ac:dyDescent="0.25"/>
    <row r="170" s="169" customFormat="1" ht="20.100000000000001" customHeight="1" x14ac:dyDescent="0.25"/>
    <row r="171" s="169" customFormat="1" ht="20.100000000000001" customHeight="1" x14ac:dyDescent="0.25"/>
    <row r="172" s="169" customFormat="1" ht="20.100000000000001" customHeight="1" x14ac:dyDescent="0.25"/>
    <row r="173" s="169" customFormat="1" ht="20.100000000000001" customHeight="1" x14ac:dyDescent="0.25"/>
    <row r="174" s="169" customFormat="1" ht="20.100000000000001" customHeight="1" x14ac:dyDescent="0.25"/>
    <row r="175" s="169" customFormat="1" ht="20.100000000000001" customHeight="1" x14ac:dyDescent="0.25"/>
    <row r="176" s="169" customFormat="1" ht="20.100000000000001" customHeight="1" x14ac:dyDescent="0.25"/>
    <row r="177" s="169" customFormat="1" ht="20.100000000000001" customHeight="1" x14ac:dyDescent="0.25"/>
    <row r="178" s="169" customFormat="1" ht="20.100000000000001" customHeight="1" x14ac:dyDescent="0.25"/>
    <row r="179" s="169" customFormat="1" ht="20.100000000000001" customHeight="1" x14ac:dyDescent="0.25"/>
    <row r="180" s="169" customFormat="1" ht="20.100000000000001" customHeight="1" x14ac:dyDescent="0.25"/>
    <row r="181" s="169" customFormat="1" ht="20.100000000000001" customHeight="1" x14ac:dyDescent="0.25"/>
    <row r="182" s="169" customFormat="1" ht="20.100000000000001" customHeight="1" x14ac:dyDescent="0.25"/>
    <row r="183" s="169" customFormat="1" ht="20.100000000000001" customHeight="1" x14ac:dyDescent="0.25"/>
    <row r="184" s="169" customFormat="1" ht="20.100000000000001" customHeight="1" x14ac:dyDescent="0.25"/>
    <row r="185" s="169" customFormat="1" ht="20.100000000000001" customHeight="1" x14ac:dyDescent="0.25"/>
    <row r="186" s="169" customFormat="1" ht="20.100000000000001" customHeight="1" x14ac:dyDescent="0.25"/>
    <row r="187" s="169" customFormat="1" ht="20.100000000000001" customHeight="1" x14ac:dyDescent="0.25"/>
    <row r="188" s="169" customFormat="1" ht="20.100000000000001" customHeight="1" x14ac:dyDescent="0.25"/>
    <row r="189" s="169" customFormat="1" ht="20.100000000000001" customHeight="1" x14ac:dyDescent="0.25"/>
    <row r="190" s="169" customFormat="1" ht="20.100000000000001" customHeight="1" x14ac:dyDescent="0.25"/>
    <row r="191" s="169" customFormat="1" ht="20.100000000000001" customHeight="1" x14ac:dyDescent="0.25"/>
    <row r="192" s="169" customFormat="1" ht="20.100000000000001" customHeight="1" x14ac:dyDescent="0.25"/>
    <row r="193" s="169" customFormat="1" ht="20.100000000000001" customHeight="1" x14ac:dyDescent="0.25"/>
    <row r="194" s="169" customFormat="1" ht="20.100000000000001" customHeight="1" x14ac:dyDescent="0.25"/>
    <row r="195" s="169" customFormat="1" ht="20.100000000000001" customHeight="1" x14ac:dyDescent="0.25"/>
    <row r="196" s="169" customFormat="1" ht="20.100000000000001" customHeight="1" x14ac:dyDescent="0.25"/>
    <row r="197" s="169" customFormat="1" ht="20.100000000000001" customHeight="1" x14ac:dyDescent="0.25"/>
    <row r="198" s="169" customFormat="1" ht="20.100000000000001" customHeight="1" x14ac:dyDescent="0.25"/>
    <row r="199" s="169" customFormat="1" ht="20.100000000000001" customHeight="1" x14ac:dyDescent="0.25"/>
    <row r="200" s="169" customFormat="1" ht="20.100000000000001" customHeight="1" x14ac:dyDescent="0.25"/>
    <row r="201" s="169" customFormat="1" ht="20.100000000000001" customHeight="1" x14ac:dyDescent="0.25"/>
    <row r="202" s="169" customFormat="1" ht="20.100000000000001" customHeight="1" x14ac:dyDescent="0.25"/>
    <row r="203" s="169" customFormat="1" ht="20.100000000000001" customHeight="1" x14ac:dyDescent="0.25"/>
    <row r="204" s="169" customFormat="1" ht="20.100000000000001" customHeight="1" x14ac:dyDescent="0.25"/>
    <row r="205" s="169" customFormat="1" ht="20.100000000000001" customHeight="1" x14ac:dyDescent="0.25"/>
    <row r="206" s="169" customFormat="1" ht="20.100000000000001" customHeight="1" x14ac:dyDescent="0.25"/>
    <row r="207" s="169" customFormat="1" ht="20.100000000000001" customHeight="1" x14ac:dyDescent="0.25"/>
    <row r="208" s="169" customFormat="1" ht="20.100000000000001" customHeight="1" x14ac:dyDescent="0.25"/>
    <row r="209" s="169" customFormat="1" ht="20.100000000000001" customHeight="1" x14ac:dyDescent="0.25"/>
    <row r="210" s="169" customFormat="1" ht="20.100000000000001" customHeight="1" x14ac:dyDescent="0.25"/>
    <row r="211" s="169" customFormat="1" ht="20.100000000000001" customHeight="1" x14ac:dyDescent="0.25"/>
    <row r="212" s="169" customFormat="1" ht="20.100000000000001" customHeight="1" x14ac:dyDescent="0.25"/>
    <row r="213" s="169" customFormat="1" ht="20.100000000000001" customHeight="1" x14ac:dyDescent="0.25"/>
    <row r="214" s="169" customFormat="1" ht="20.100000000000001" customHeight="1" x14ac:dyDescent="0.25"/>
    <row r="215" s="169" customFormat="1" ht="20.100000000000001" customHeight="1" x14ac:dyDescent="0.25"/>
    <row r="216" s="169" customFormat="1" ht="20.100000000000001" customHeight="1" x14ac:dyDescent="0.25"/>
    <row r="217" s="169" customFormat="1" ht="20.100000000000001" customHeight="1" x14ac:dyDescent="0.25"/>
    <row r="218" s="169" customFormat="1" ht="20.100000000000001" customHeight="1" x14ac:dyDescent="0.25"/>
    <row r="219" s="169" customFormat="1" ht="20.100000000000001" customHeight="1" x14ac:dyDescent="0.25"/>
    <row r="220" s="169" customFormat="1" ht="20.100000000000001" customHeight="1" x14ac:dyDescent="0.25"/>
    <row r="221" s="169" customFormat="1" ht="20.100000000000001" customHeight="1" x14ac:dyDescent="0.25"/>
    <row r="222" s="169" customFormat="1" ht="20.100000000000001" customHeight="1" x14ac:dyDescent="0.25"/>
    <row r="223" s="169" customFormat="1" ht="20.100000000000001" customHeight="1" x14ac:dyDescent="0.25"/>
    <row r="224" s="169" customFormat="1" ht="20.100000000000001" customHeight="1" x14ac:dyDescent="0.25"/>
    <row r="225" s="169" customFormat="1" ht="20.100000000000001" customHeight="1" x14ac:dyDescent="0.25"/>
    <row r="226" s="169" customFormat="1" ht="20.100000000000001" customHeight="1" x14ac:dyDescent="0.25"/>
    <row r="227" s="169" customFormat="1" ht="20.100000000000001" customHeight="1" x14ac:dyDescent="0.25"/>
    <row r="228" s="169" customFormat="1" ht="20.100000000000001" customHeight="1" x14ac:dyDescent="0.25"/>
    <row r="229" s="169" customFormat="1" ht="20.100000000000001" customHeight="1" x14ac:dyDescent="0.25"/>
    <row r="230" s="169" customFormat="1" ht="20.100000000000001" customHeight="1" x14ac:dyDescent="0.25"/>
    <row r="231" s="169" customFormat="1" ht="20.100000000000001" customHeight="1" x14ac:dyDescent="0.25"/>
    <row r="232" s="169" customFormat="1" ht="20.100000000000001" customHeight="1" x14ac:dyDescent="0.25"/>
    <row r="233" s="169" customFormat="1" ht="20.100000000000001" customHeight="1" x14ac:dyDescent="0.25"/>
    <row r="234" s="169" customFormat="1" ht="20.100000000000001" customHeight="1" x14ac:dyDescent="0.25"/>
    <row r="235" s="169" customFormat="1" ht="20.100000000000001" customHeight="1" x14ac:dyDescent="0.25"/>
    <row r="236" s="169" customFormat="1" ht="20.100000000000001" customHeight="1" x14ac:dyDescent="0.25"/>
    <row r="237" s="169" customFormat="1" ht="20.100000000000001" customHeight="1" x14ac:dyDescent="0.25"/>
    <row r="238" s="169" customFormat="1" ht="20.100000000000001" customHeight="1" x14ac:dyDescent="0.25"/>
    <row r="239" s="169" customFormat="1" ht="20.100000000000001" customHeight="1" x14ac:dyDescent="0.25"/>
    <row r="240" s="169" customFormat="1" ht="20.100000000000001" customHeight="1" x14ac:dyDescent="0.25"/>
    <row r="241" s="169" customFormat="1" ht="20.100000000000001" customHeight="1" x14ac:dyDescent="0.25"/>
    <row r="242" s="169" customFormat="1" ht="20.100000000000001" customHeight="1" x14ac:dyDescent="0.25"/>
    <row r="243" s="169" customFormat="1" ht="20.100000000000001" customHeight="1" x14ac:dyDescent="0.25"/>
    <row r="244" s="169" customFormat="1" ht="20.100000000000001" customHeight="1" x14ac:dyDescent="0.25"/>
    <row r="245" s="169" customFormat="1" ht="20.100000000000001" customHeight="1" x14ac:dyDescent="0.25"/>
    <row r="246" s="169" customFormat="1" ht="20.100000000000001" customHeight="1" x14ac:dyDescent="0.25"/>
    <row r="247" s="169" customFormat="1" ht="20.100000000000001" customHeight="1" x14ac:dyDescent="0.25"/>
    <row r="248" s="169" customFormat="1" ht="20.100000000000001" customHeight="1" x14ac:dyDescent="0.25"/>
    <row r="249" s="169" customFormat="1" ht="20.100000000000001" customHeight="1" x14ac:dyDescent="0.25"/>
    <row r="250" s="169" customFormat="1" ht="20.100000000000001" customHeight="1" x14ac:dyDescent="0.25"/>
    <row r="251" s="169" customFormat="1" ht="20.100000000000001" customHeight="1" x14ac:dyDescent="0.25"/>
    <row r="252" s="169" customFormat="1" ht="20.100000000000001" customHeight="1" x14ac:dyDescent="0.25"/>
    <row r="253" s="169" customFormat="1" ht="20.100000000000001" customHeight="1" x14ac:dyDescent="0.25"/>
    <row r="254" s="169" customFormat="1" ht="20.100000000000001" customHeight="1" x14ac:dyDescent="0.25"/>
    <row r="255" s="169" customFormat="1" ht="20.100000000000001" customHeight="1" x14ac:dyDescent="0.25"/>
    <row r="256" s="169" customFormat="1" ht="20.100000000000001" customHeight="1" x14ac:dyDescent="0.25"/>
    <row r="257" s="169" customFormat="1" ht="20.100000000000001" customHeight="1" x14ac:dyDescent="0.25"/>
    <row r="258" s="169" customFormat="1" ht="20.100000000000001" customHeight="1" x14ac:dyDescent="0.25"/>
    <row r="259" s="169" customFormat="1" ht="20.100000000000001" customHeight="1" x14ac:dyDescent="0.25"/>
    <row r="260" s="169" customFormat="1" ht="20.100000000000001" customHeight="1" x14ac:dyDescent="0.25"/>
    <row r="261" s="169" customFormat="1" ht="20.100000000000001" customHeight="1" x14ac:dyDescent="0.25"/>
    <row r="262" s="169" customFormat="1" ht="20.100000000000001" customHeight="1" x14ac:dyDescent="0.25"/>
    <row r="263" s="169" customFormat="1" ht="20.100000000000001" customHeight="1" x14ac:dyDescent="0.25"/>
    <row r="264" s="169" customFormat="1" ht="20.100000000000001" customHeight="1" x14ac:dyDescent="0.25"/>
    <row r="265" s="169" customFormat="1" ht="20.100000000000001" customHeight="1" x14ac:dyDescent="0.25"/>
    <row r="266" s="169" customFormat="1" ht="20.100000000000001" customHeight="1" x14ac:dyDescent="0.25"/>
    <row r="267" s="169" customFormat="1" ht="20.100000000000001" customHeight="1" x14ac:dyDescent="0.25"/>
    <row r="268" s="169" customFormat="1" ht="20.100000000000001" customHeight="1" x14ac:dyDescent="0.25"/>
    <row r="269" s="169" customFormat="1" ht="20.100000000000001" customHeight="1" x14ac:dyDescent="0.25"/>
    <row r="270" s="169" customFormat="1" ht="20.100000000000001" customHeight="1" x14ac:dyDescent="0.25"/>
    <row r="271" s="169" customFormat="1" ht="20.100000000000001" customHeight="1" x14ac:dyDescent="0.25"/>
    <row r="272" s="169" customFormat="1" ht="20.100000000000001" customHeight="1" x14ac:dyDescent="0.25"/>
    <row r="273" s="169" customFormat="1" ht="20.100000000000001" customHeight="1" x14ac:dyDescent="0.25"/>
    <row r="274" s="169" customFormat="1" ht="20.100000000000001" customHeight="1" x14ac:dyDescent="0.25"/>
    <row r="275" s="169" customFormat="1" ht="20.100000000000001" customHeight="1" x14ac:dyDescent="0.25"/>
    <row r="276" s="169" customFormat="1" ht="20.100000000000001" customHeight="1" x14ac:dyDescent="0.25"/>
    <row r="277" s="169" customFormat="1" ht="20.100000000000001" customHeight="1" x14ac:dyDescent="0.25"/>
    <row r="278" s="169" customFormat="1" ht="20.100000000000001" customHeight="1" x14ac:dyDescent="0.25"/>
    <row r="279" s="169" customFormat="1" ht="20.100000000000001" customHeight="1" x14ac:dyDescent="0.25"/>
    <row r="280" s="169" customFormat="1" ht="20.100000000000001" customHeight="1" x14ac:dyDescent="0.25"/>
    <row r="281" s="169" customFormat="1" ht="20.100000000000001" customHeight="1" x14ac:dyDescent="0.25"/>
    <row r="282" s="169" customFormat="1" ht="20.100000000000001" customHeight="1" x14ac:dyDescent="0.25"/>
    <row r="283" s="169" customFormat="1" ht="20.100000000000001" customHeight="1" x14ac:dyDescent="0.25"/>
    <row r="284" s="169" customFormat="1" ht="20.100000000000001" customHeight="1" x14ac:dyDescent="0.25"/>
    <row r="285" s="169" customFormat="1" ht="20.100000000000001" customHeight="1" x14ac:dyDescent="0.25"/>
    <row r="286" s="169" customFormat="1" ht="20.100000000000001" customHeight="1" x14ac:dyDescent="0.25"/>
    <row r="287" s="169" customFormat="1" ht="20.100000000000001" customHeight="1" x14ac:dyDescent="0.25"/>
    <row r="288" s="169" customFormat="1" ht="20.100000000000001" customHeight="1" x14ac:dyDescent="0.25"/>
    <row r="289" s="169" customFormat="1" ht="20.100000000000001" customHeight="1" x14ac:dyDescent="0.25"/>
    <row r="290" s="169" customFormat="1" ht="20.100000000000001" customHeight="1" x14ac:dyDescent="0.25"/>
    <row r="291" s="169" customFormat="1" ht="20.100000000000001" customHeight="1" x14ac:dyDescent="0.25"/>
    <row r="292" s="169" customFormat="1" ht="20.100000000000001" customHeight="1" x14ac:dyDescent="0.25"/>
    <row r="293" s="169" customFormat="1" ht="20.100000000000001" customHeight="1" x14ac:dyDescent="0.25"/>
    <row r="294" s="169" customFormat="1" ht="20.100000000000001" customHeight="1" x14ac:dyDescent="0.25"/>
    <row r="295" s="169" customFormat="1" ht="20.100000000000001" customHeight="1" x14ac:dyDescent="0.25"/>
    <row r="296" s="169" customFormat="1" ht="20.100000000000001" customHeight="1" x14ac:dyDescent="0.25"/>
    <row r="297" s="169" customFormat="1" ht="20.100000000000001" customHeight="1" x14ac:dyDescent="0.25"/>
    <row r="298" s="169" customFormat="1" ht="20.100000000000001" customHeight="1" x14ac:dyDescent="0.25"/>
    <row r="299" s="169" customFormat="1" ht="20.100000000000001" customHeight="1" x14ac:dyDescent="0.25"/>
    <row r="300" s="169" customFormat="1" ht="20.100000000000001" customHeight="1" x14ac:dyDescent="0.25"/>
    <row r="301" s="169" customFormat="1" ht="20.100000000000001" customHeight="1" x14ac:dyDescent="0.25"/>
    <row r="302" s="169" customFormat="1" ht="20.100000000000001" customHeight="1" x14ac:dyDescent="0.25"/>
    <row r="303" s="169" customFormat="1" ht="20.100000000000001" customHeight="1" x14ac:dyDescent="0.25"/>
    <row r="304" s="169" customFormat="1" ht="20.100000000000001" customHeight="1" x14ac:dyDescent="0.25"/>
    <row r="305" s="169" customFormat="1" ht="20.100000000000001" customHeight="1" x14ac:dyDescent="0.25"/>
    <row r="306" s="169" customFormat="1" ht="20.100000000000001" customHeight="1" x14ac:dyDescent="0.25"/>
    <row r="307" s="169" customFormat="1" ht="20.100000000000001" customHeight="1" x14ac:dyDescent="0.25"/>
    <row r="308" s="169" customFormat="1" ht="20.100000000000001" customHeight="1" x14ac:dyDescent="0.25"/>
    <row r="309" s="169" customFormat="1" ht="20.100000000000001" customHeight="1" x14ac:dyDescent="0.25"/>
    <row r="310" s="169" customFormat="1" ht="20.100000000000001" customHeight="1" x14ac:dyDescent="0.25"/>
    <row r="311" s="169" customFormat="1" ht="20.100000000000001" customHeight="1" x14ac:dyDescent="0.25"/>
    <row r="312" s="169" customFormat="1" ht="20.100000000000001" customHeight="1" x14ac:dyDescent="0.25"/>
    <row r="313" s="169" customFormat="1" ht="20.100000000000001" customHeight="1" x14ac:dyDescent="0.25"/>
    <row r="314" s="169" customFormat="1" ht="20.100000000000001" customHeight="1" x14ac:dyDescent="0.25"/>
    <row r="315" s="169" customFormat="1" ht="20.100000000000001" customHeight="1" x14ac:dyDescent="0.25"/>
    <row r="316" s="169" customFormat="1" ht="20.100000000000001" customHeight="1" x14ac:dyDescent="0.25"/>
    <row r="317" s="169" customFormat="1" ht="20.100000000000001" customHeight="1" x14ac:dyDescent="0.25"/>
    <row r="318" s="169" customFormat="1" ht="20.100000000000001" customHeight="1" x14ac:dyDescent="0.25"/>
    <row r="319" s="169" customFormat="1" ht="20.100000000000001" customHeight="1" x14ac:dyDescent="0.25"/>
    <row r="320" s="169" customFormat="1" ht="20.100000000000001" customHeight="1" x14ac:dyDescent="0.25"/>
    <row r="321" s="169" customFormat="1" ht="20.100000000000001" customHeight="1" x14ac:dyDescent="0.25"/>
    <row r="322" s="169" customFormat="1" ht="20.100000000000001" customHeight="1" x14ac:dyDescent="0.25"/>
    <row r="323" s="169" customFormat="1" ht="20.100000000000001" customHeight="1" x14ac:dyDescent="0.25"/>
    <row r="324" s="169" customFormat="1" ht="20.100000000000001" customHeight="1" x14ac:dyDescent="0.25"/>
    <row r="325" s="169" customFormat="1" ht="20.100000000000001" customHeight="1" x14ac:dyDescent="0.25"/>
    <row r="326" s="169" customFormat="1" ht="20.100000000000001" customHeight="1" x14ac:dyDescent="0.25"/>
    <row r="327" s="169" customFormat="1" ht="20.100000000000001" customHeight="1" x14ac:dyDescent="0.25"/>
    <row r="328" s="169" customFormat="1" ht="20.100000000000001" customHeight="1" x14ac:dyDescent="0.25"/>
    <row r="329" s="169" customFormat="1" ht="20.100000000000001" customHeight="1" x14ac:dyDescent="0.25"/>
    <row r="330" s="169" customFormat="1" ht="20.100000000000001" customHeight="1" x14ac:dyDescent="0.25"/>
    <row r="331" s="169" customFormat="1" ht="20.100000000000001" customHeight="1" x14ac:dyDescent="0.25"/>
    <row r="332" s="169" customFormat="1" ht="20.100000000000001" customHeight="1" x14ac:dyDescent="0.25"/>
    <row r="333" s="169" customFormat="1" ht="20.100000000000001" customHeight="1" x14ac:dyDescent="0.25"/>
    <row r="334" s="169" customFormat="1" ht="20.100000000000001" customHeight="1" x14ac:dyDescent="0.25"/>
    <row r="335" s="169" customFormat="1" ht="20.100000000000001" customHeight="1" x14ac:dyDescent="0.25"/>
    <row r="336" s="169" customFormat="1" ht="20.100000000000001" customHeight="1" x14ac:dyDescent="0.25"/>
    <row r="337" s="169" customFormat="1" ht="20.100000000000001" customHeight="1" x14ac:dyDescent="0.25"/>
    <row r="338" s="169" customFormat="1" ht="20.100000000000001" customHeight="1" x14ac:dyDescent="0.25"/>
    <row r="339" s="169" customFormat="1" ht="20.100000000000001" customHeight="1" x14ac:dyDescent="0.25"/>
    <row r="340" s="169" customFormat="1" ht="20.100000000000001" customHeight="1" x14ac:dyDescent="0.25"/>
    <row r="341" s="169" customFormat="1" ht="20.100000000000001" customHeight="1" x14ac:dyDescent="0.25"/>
    <row r="342" s="169" customFormat="1" ht="20.100000000000001" customHeight="1" x14ac:dyDescent="0.25"/>
    <row r="343" s="169" customFormat="1" ht="20.100000000000001" customHeight="1" x14ac:dyDescent="0.25"/>
    <row r="344" s="169" customFormat="1" ht="20.100000000000001" customHeight="1" x14ac:dyDescent="0.25"/>
    <row r="345" s="169" customFormat="1" ht="20.100000000000001" customHeight="1" x14ac:dyDescent="0.25"/>
    <row r="346" s="169" customFormat="1" ht="20.100000000000001" customHeight="1" x14ac:dyDescent="0.25"/>
    <row r="347" s="169" customFormat="1" ht="20.100000000000001" customHeight="1" x14ac:dyDescent="0.25"/>
    <row r="348" s="169" customFormat="1" ht="20.100000000000001" customHeight="1" x14ac:dyDescent="0.25"/>
    <row r="349" s="169" customFormat="1" ht="20.100000000000001" customHeight="1" x14ac:dyDescent="0.25"/>
    <row r="350" s="169" customFormat="1" ht="20.100000000000001" customHeight="1" x14ac:dyDescent="0.25"/>
    <row r="351" s="169" customFormat="1" ht="20.100000000000001" customHeight="1" x14ac:dyDescent="0.25"/>
    <row r="352" s="169" customFormat="1" ht="20.100000000000001" customHeight="1" x14ac:dyDescent="0.25"/>
    <row r="353" s="169" customFormat="1" ht="20.100000000000001" customHeight="1" x14ac:dyDescent="0.25"/>
    <row r="354" s="169" customFormat="1" ht="20.100000000000001" customHeight="1" x14ac:dyDescent="0.25"/>
    <row r="355" s="169" customFormat="1" ht="20.100000000000001" customHeight="1" x14ac:dyDescent="0.25"/>
    <row r="356" s="169" customFormat="1" ht="20.100000000000001" customHeight="1" x14ac:dyDescent="0.25"/>
    <row r="357" s="169" customFormat="1" ht="20.100000000000001" customHeight="1" x14ac:dyDescent="0.25"/>
    <row r="358" s="169" customFormat="1" ht="20.100000000000001" customHeight="1" x14ac:dyDescent="0.25"/>
    <row r="359" s="169" customFormat="1" ht="20.100000000000001" customHeight="1" x14ac:dyDescent="0.25"/>
    <row r="360" s="169" customFormat="1" ht="20.100000000000001" customHeight="1" x14ac:dyDescent="0.25"/>
    <row r="361" s="169" customFormat="1" ht="20.100000000000001" customHeight="1" x14ac:dyDescent="0.25"/>
    <row r="362" s="169" customFormat="1" ht="20.100000000000001" customHeight="1" x14ac:dyDescent="0.25"/>
    <row r="363" s="169" customFormat="1" ht="20.100000000000001" customHeight="1" x14ac:dyDescent="0.25"/>
    <row r="364" s="169" customFormat="1" ht="20.100000000000001" customHeight="1" x14ac:dyDescent="0.25"/>
    <row r="365" s="169" customFormat="1" ht="20.100000000000001" customHeight="1" x14ac:dyDescent="0.25"/>
    <row r="366" s="169" customFormat="1" ht="20.100000000000001" customHeight="1" x14ac:dyDescent="0.25"/>
    <row r="367" s="169" customFormat="1" ht="20.100000000000001" customHeight="1" x14ac:dyDescent="0.25"/>
    <row r="368" s="169" customFormat="1" ht="20.100000000000001" customHeight="1" x14ac:dyDescent="0.25"/>
    <row r="369" s="169" customFormat="1" ht="20.100000000000001" customHeight="1" x14ac:dyDescent="0.25"/>
    <row r="370" s="169" customFormat="1" ht="20.100000000000001" customHeight="1" x14ac:dyDescent="0.25"/>
    <row r="371" s="169" customFormat="1" ht="20.100000000000001" customHeight="1" x14ac:dyDescent="0.25"/>
    <row r="372" s="169" customFormat="1" ht="20.100000000000001" customHeight="1" x14ac:dyDescent="0.25"/>
    <row r="373" s="169" customFormat="1" ht="20.100000000000001" customHeight="1" x14ac:dyDescent="0.25"/>
    <row r="374" s="169" customFormat="1" ht="20.100000000000001" customHeight="1" x14ac:dyDescent="0.25"/>
    <row r="375" s="169" customFormat="1" ht="20.100000000000001" customHeight="1" x14ac:dyDescent="0.25"/>
    <row r="376" s="169" customFormat="1" ht="20.100000000000001" customHeight="1" x14ac:dyDescent="0.25"/>
    <row r="377" s="169" customFormat="1" ht="20.100000000000001" customHeight="1" x14ac:dyDescent="0.25"/>
    <row r="378" s="169" customFormat="1" ht="20.100000000000001" customHeight="1" x14ac:dyDescent="0.25"/>
    <row r="379" s="169" customFormat="1" ht="20.100000000000001" customHeight="1" x14ac:dyDescent="0.25"/>
    <row r="380" s="169" customFormat="1" ht="20.100000000000001" customHeight="1" x14ac:dyDescent="0.25"/>
    <row r="381" s="169" customFormat="1" ht="20.100000000000001" customHeight="1" x14ac:dyDescent="0.25"/>
    <row r="382" s="169" customFormat="1" ht="20.100000000000001" customHeight="1" x14ac:dyDescent="0.25"/>
    <row r="383" s="169" customFormat="1" ht="20.100000000000001" customHeight="1" x14ac:dyDescent="0.25"/>
    <row r="384" s="169" customFormat="1" ht="20.100000000000001" customHeight="1" x14ac:dyDescent="0.25"/>
    <row r="385" s="169" customFormat="1" ht="20.100000000000001" customHeight="1" x14ac:dyDescent="0.25"/>
    <row r="386" s="169" customFormat="1" ht="20.100000000000001" customHeight="1" x14ac:dyDescent="0.25"/>
    <row r="387" s="169" customFormat="1" ht="20.100000000000001" customHeight="1" x14ac:dyDescent="0.25"/>
    <row r="388" s="169" customFormat="1" ht="20.100000000000001" customHeight="1" x14ac:dyDescent="0.25"/>
    <row r="389" s="169" customFormat="1" ht="20.100000000000001" customHeight="1" x14ac:dyDescent="0.25"/>
    <row r="390" s="169" customFormat="1" ht="20.100000000000001" customHeight="1" x14ac:dyDescent="0.25"/>
    <row r="391" s="169" customFormat="1" ht="20.100000000000001" customHeight="1" x14ac:dyDescent="0.25"/>
    <row r="392" s="169" customFormat="1" ht="20.100000000000001" customHeight="1" x14ac:dyDescent="0.25"/>
    <row r="393" s="169" customFormat="1" ht="20.100000000000001" customHeight="1" x14ac:dyDescent="0.25"/>
    <row r="394" s="169" customFormat="1" ht="20.100000000000001" customHeight="1" x14ac:dyDescent="0.25"/>
    <row r="395" s="169" customFormat="1" ht="20.100000000000001" customHeight="1" x14ac:dyDescent="0.25"/>
    <row r="396" s="169" customFormat="1" ht="20.100000000000001" customHeight="1" x14ac:dyDescent="0.25"/>
    <row r="397" s="169" customFormat="1" ht="20.100000000000001" customHeight="1" x14ac:dyDescent="0.25"/>
    <row r="398" s="169" customFormat="1" ht="20.100000000000001" customHeight="1" x14ac:dyDescent="0.25"/>
    <row r="399" s="169" customFormat="1" ht="20.100000000000001" customHeight="1" x14ac:dyDescent="0.25"/>
    <row r="400" s="169" customFormat="1" ht="20.100000000000001" customHeight="1" x14ac:dyDescent="0.25"/>
    <row r="401" s="169" customFormat="1" ht="20.100000000000001" customHeight="1" x14ac:dyDescent="0.25"/>
    <row r="402" s="169" customFormat="1" ht="20.100000000000001" customHeight="1" x14ac:dyDescent="0.25"/>
    <row r="403" s="169" customFormat="1" ht="20.100000000000001" customHeight="1" x14ac:dyDescent="0.25"/>
    <row r="404" s="169" customFormat="1" ht="20.100000000000001" customHeight="1" x14ac:dyDescent="0.25"/>
    <row r="405" s="169" customFormat="1" ht="20.100000000000001" customHeight="1" x14ac:dyDescent="0.25"/>
    <row r="406" s="169" customFormat="1" ht="20.100000000000001" customHeight="1" x14ac:dyDescent="0.25"/>
    <row r="407" s="169" customFormat="1" ht="20.100000000000001" customHeight="1" x14ac:dyDescent="0.25"/>
    <row r="408" s="169" customFormat="1" ht="20.100000000000001" customHeight="1" x14ac:dyDescent="0.25"/>
    <row r="409" s="169" customFormat="1" ht="20.100000000000001" customHeight="1" x14ac:dyDescent="0.25"/>
    <row r="410" s="169" customFormat="1" ht="20.100000000000001" customHeight="1" x14ac:dyDescent="0.25"/>
    <row r="411" s="169" customFormat="1" ht="20.100000000000001" customHeight="1" x14ac:dyDescent="0.25"/>
    <row r="412" s="169" customFormat="1" ht="20.100000000000001" customHeight="1" x14ac:dyDescent="0.25"/>
    <row r="413" s="169" customFormat="1" ht="20.100000000000001" customHeight="1" x14ac:dyDescent="0.25"/>
    <row r="414" s="169" customFormat="1" ht="20.100000000000001" customHeight="1" x14ac:dyDescent="0.25"/>
    <row r="415" s="169" customFormat="1" ht="20.100000000000001" customHeight="1" x14ac:dyDescent="0.25"/>
    <row r="416" s="169" customFormat="1" ht="20.100000000000001" customHeight="1" x14ac:dyDescent="0.25"/>
    <row r="417" s="169" customFormat="1" ht="20.100000000000001" customHeight="1" x14ac:dyDescent="0.25"/>
    <row r="418" s="169" customFormat="1" ht="20.100000000000001" customHeight="1" x14ac:dyDescent="0.25"/>
    <row r="419" s="169" customFormat="1" ht="20.100000000000001" customHeight="1" x14ac:dyDescent="0.25"/>
    <row r="420" s="169" customFormat="1" ht="20.100000000000001" customHeight="1" x14ac:dyDescent="0.25"/>
    <row r="421" s="169" customFormat="1" ht="20.100000000000001" customHeight="1" x14ac:dyDescent="0.25"/>
    <row r="422" s="169" customFormat="1" ht="20.100000000000001" customHeight="1" x14ac:dyDescent="0.25"/>
    <row r="423" s="169" customFormat="1" ht="20.100000000000001" customHeight="1" x14ac:dyDescent="0.25"/>
    <row r="424" s="169" customFormat="1" ht="20.100000000000001" customHeight="1" x14ac:dyDescent="0.25"/>
    <row r="425" s="169" customFormat="1" ht="20.100000000000001" customHeight="1" x14ac:dyDescent="0.25"/>
    <row r="426" s="169" customFormat="1" ht="20.100000000000001" customHeight="1" x14ac:dyDescent="0.25"/>
    <row r="427" s="169" customFormat="1" ht="20.100000000000001" customHeight="1" x14ac:dyDescent="0.25"/>
    <row r="428" s="169" customFormat="1" ht="20.100000000000001" customHeight="1" x14ac:dyDescent="0.25"/>
    <row r="429" s="169" customFormat="1" ht="20.100000000000001" customHeight="1" x14ac:dyDescent="0.25"/>
    <row r="430" s="169" customFormat="1" ht="20.100000000000001" customHeight="1" x14ac:dyDescent="0.25"/>
    <row r="431" s="169" customFormat="1" ht="20.100000000000001" customHeight="1" x14ac:dyDescent="0.25"/>
    <row r="432" s="169" customFormat="1" ht="20.100000000000001" customHeight="1" x14ac:dyDescent="0.25"/>
    <row r="433" s="169" customFormat="1" ht="20.100000000000001" customHeight="1" x14ac:dyDescent="0.25"/>
    <row r="434" s="169" customFormat="1" ht="20.100000000000001" customHeight="1" x14ac:dyDescent="0.25"/>
    <row r="435" s="169" customFormat="1" ht="20.100000000000001" customHeight="1" x14ac:dyDescent="0.25"/>
    <row r="436" s="169" customFormat="1" ht="20.100000000000001" customHeight="1" x14ac:dyDescent="0.25"/>
    <row r="437" s="169" customFormat="1" ht="20.100000000000001" customHeight="1" x14ac:dyDescent="0.25"/>
    <row r="438" s="169" customFormat="1" ht="20.100000000000001" customHeight="1" x14ac:dyDescent="0.25"/>
    <row r="439" s="169" customFormat="1" ht="20.100000000000001" customHeight="1" x14ac:dyDescent="0.25"/>
    <row r="440" s="169" customFormat="1" ht="20.100000000000001" customHeight="1" x14ac:dyDescent="0.25"/>
    <row r="441" s="169" customFormat="1" ht="20.100000000000001" customHeight="1" x14ac:dyDescent="0.25"/>
    <row r="442" s="169" customFormat="1" ht="20.100000000000001" customHeight="1" x14ac:dyDescent="0.25"/>
    <row r="443" s="169" customFormat="1" ht="20.100000000000001" customHeight="1" x14ac:dyDescent="0.25"/>
    <row r="444" s="169" customFormat="1" ht="20.100000000000001" customHeight="1" x14ac:dyDescent="0.25"/>
    <row r="445" s="169" customFormat="1" ht="20.100000000000001" customHeight="1" x14ac:dyDescent="0.25"/>
    <row r="446" s="169" customFormat="1" ht="20.100000000000001" customHeight="1" x14ac:dyDescent="0.25"/>
    <row r="447" s="169" customFormat="1" ht="20.100000000000001" customHeight="1" x14ac:dyDescent="0.25"/>
    <row r="448" s="169" customFormat="1" ht="20.100000000000001" customHeight="1" x14ac:dyDescent="0.25"/>
    <row r="449" s="169" customFormat="1" ht="20.100000000000001" customHeight="1" x14ac:dyDescent="0.25"/>
    <row r="450" s="169" customFormat="1" ht="20.100000000000001" customHeight="1" x14ac:dyDescent="0.25"/>
    <row r="451" s="169" customFormat="1" ht="20.100000000000001" customHeight="1" x14ac:dyDescent="0.25"/>
    <row r="452" s="169" customFormat="1" ht="20.100000000000001" customHeight="1" x14ac:dyDescent="0.25"/>
    <row r="453" s="169" customFormat="1" ht="20.100000000000001" customHeight="1" x14ac:dyDescent="0.25"/>
    <row r="454" s="169" customFormat="1" ht="20.100000000000001" customHeight="1" x14ac:dyDescent="0.25"/>
    <row r="455" s="169" customFormat="1" ht="20.100000000000001" customHeight="1" x14ac:dyDescent="0.25"/>
    <row r="456" s="169" customFormat="1" ht="20.100000000000001" customHeight="1" x14ac:dyDescent="0.25"/>
    <row r="457" s="169" customFormat="1" ht="20.100000000000001" customHeight="1" x14ac:dyDescent="0.25"/>
    <row r="458" s="169" customFormat="1" ht="20.100000000000001" customHeight="1" x14ac:dyDescent="0.25"/>
    <row r="459" s="169" customFormat="1" ht="20.100000000000001" customHeight="1" x14ac:dyDescent="0.25"/>
    <row r="460" s="169" customFormat="1" ht="20.100000000000001" customHeight="1" x14ac:dyDescent="0.25"/>
    <row r="461" s="169" customFormat="1" ht="20.100000000000001" customHeight="1" x14ac:dyDescent="0.25"/>
    <row r="462" s="169" customFormat="1" ht="20.100000000000001" customHeight="1" x14ac:dyDescent="0.25"/>
    <row r="463" s="169" customFormat="1" ht="20.100000000000001" customHeight="1" x14ac:dyDescent="0.25"/>
    <row r="464" s="169" customFormat="1" ht="20.100000000000001" customHeight="1" x14ac:dyDescent="0.25"/>
    <row r="465" s="169" customFormat="1" ht="20.100000000000001" customHeight="1" x14ac:dyDescent="0.25"/>
    <row r="466" s="169" customFormat="1" ht="20.100000000000001" customHeight="1" x14ac:dyDescent="0.25"/>
    <row r="467" s="169" customFormat="1" ht="20.100000000000001" customHeight="1" x14ac:dyDescent="0.25"/>
    <row r="468" s="169" customFormat="1" ht="20.100000000000001" customHeight="1" x14ac:dyDescent="0.25"/>
    <row r="469" s="169" customFormat="1" ht="20.100000000000001" customHeight="1" x14ac:dyDescent="0.25"/>
    <row r="470" s="169" customFormat="1" ht="20.100000000000001" customHeight="1" x14ac:dyDescent="0.25"/>
    <row r="471" s="169" customFormat="1" ht="20.100000000000001" customHeight="1" x14ac:dyDescent="0.25"/>
    <row r="472" s="169" customFormat="1" ht="20.100000000000001" customHeight="1" x14ac:dyDescent="0.25"/>
    <row r="473" s="169" customFormat="1" ht="20.100000000000001" customHeight="1" x14ac:dyDescent="0.25"/>
    <row r="474" s="169" customFormat="1" ht="20.100000000000001" customHeight="1" x14ac:dyDescent="0.25"/>
    <row r="475" s="169" customFormat="1" ht="20.100000000000001" customHeight="1" x14ac:dyDescent="0.25"/>
    <row r="476" s="169" customFormat="1" ht="20.100000000000001" customHeight="1" x14ac:dyDescent="0.25"/>
    <row r="477" s="169" customFormat="1" ht="20.100000000000001" customHeight="1" x14ac:dyDescent="0.25"/>
    <row r="478" s="169" customFormat="1" ht="20.100000000000001" customHeight="1" x14ac:dyDescent="0.25"/>
    <row r="479" s="169" customFormat="1" ht="20.100000000000001" customHeight="1" x14ac:dyDescent="0.25"/>
    <row r="480" s="169" customFormat="1" ht="20.100000000000001" customHeight="1" x14ac:dyDescent="0.25"/>
    <row r="481" s="169" customFormat="1" ht="20.100000000000001" customHeight="1" x14ac:dyDescent="0.25"/>
    <row r="482" s="169" customFormat="1" ht="20.100000000000001" customHeight="1" x14ac:dyDescent="0.25"/>
    <row r="483" s="169" customFormat="1" ht="20.100000000000001" customHeight="1" x14ac:dyDescent="0.25"/>
    <row r="484" s="169" customFormat="1" ht="20.100000000000001" customHeight="1" x14ac:dyDescent="0.25"/>
    <row r="485" s="169" customFormat="1" ht="20.100000000000001" customHeight="1" x14ac:dyDescent="0.25"/>
    <row r="486" s="169" customFormat="1" ht="20.100000000000001" customHeight="1" x14ac:dyDescent="0.25"/>
    <row r="487" s="169" customFormat="1" ht="20.100000000000001" customHeight="1" x14ac:dyDescent="0.25"/>
    <row r="488" s="169" customFormat="1" ht="20.100000000000001" customHeight="1" x14ac:dyDescent="0.25"/>
    <row r="489" s="169" customFormat="1" ht="20.100000000000001" customHeight="1" x14ac:dyDescent="0.25"/>
    <row r="490" s="169" customFormat="1" ht="20.100000000000001" customHeight="1" x14ac:dyDescent="0.25"/>
    <row r="491" s="169" customFormat="1" ht="20.100000000000001" customHeight="1" x14ac:dyDescent="0.25"/>
    <row r="492" s="169" customFormat="1" ht="20.100000000000001" customHeight="1" x14ac:dyDescent="0.25"/>
    <row r="493" s="169" customFormat="1" ht="20.100000000000001" customHeight="1" x14ac:dyDescent="0.25"/>
    <row r="494" s="169" customFormat="1" ht="20.100000000000001" customHeight="1" x14ac:dyDescent="0.25"/>
    <row r="495" s="169" customFormat="1" ht="20.100000000000001" customHeight="1" x14ac:dyDescent="0.25"/>
    <row r="496" s="169" customFormat="1" ht="20.100000000000001" customHeight="1" x14ac:dyDescent="0.25"/>
    <row r="497" s="169" customFormat="1" ht="20.100000000000001" customHeight="1" x14ac:dyDescent="0.25"/>
    <row r="498" s="169" customFormat="1" ht="20.100000000000001" customHeight="1" x14ac:dyDescent="0.25"/>
    <row r="499" s="169" customFormat="1" ht="20.100000000000001" customHeight="1" x14ac:dyDescent="0.25"/>
    <row r="500" s="169" customFormat="1" ht="20.100000000000001" customHeight="1" x14ac:dyDescent="0.25"/>
    <row r="501" s="169" customFormat="1" ht="20.100000000000001" customHeight="1" x14ac:dyDescent="0.25"/>
    <row r="502" s="169" customFormat="1" ht="20.100000000000001" customHeight="1" x14ac:dyDescent="0.25"/>
    <row r="503" s="169" customFormat="1" ht="20.100000000000001" customHeight="1" x14ac:dyDescent="0.25"/>
    <row r="504" s="169" customFormat="1" ht="20.100000000000001" customHeight="1" x14ac:dyDescent="0.25"/>
    <row r="505" s="169" customFormat="1" ht="20.100000000000001" customHeight="1" x14ac:dyDescent="0.25"/>
    <row r="506" s="169" customFormat="1" ht="20.100000000000001" customHeight="1" x14ac:dyDescent="0.25"/>
    <row r="507" s="169" customFormat="1" ht="20.100000000000001" customHeight="1" x14ac:dyDescent="0.25"/>
    <row r="508" s="169" customFormat="1" ht="20.100000000000001" customHeight="1" x14ac:dyDescent="0.25"/>
    <row r="509" s="169" customFormat="1" ht="20.100000000000001" customHeight="1" x14ac:dyDescent="0.25"/>
    <row r="510" s="169" customFormat="1" ht="20.100000000000001" customHeight="1" x14ac:dyDescent="0.25"/>
    <row r="511" s="169" customFormat="1" ht="20.100000000000001" customHeight="1" x14ac:dyDescent="0.25"/>
    <row r="512" s="169" customFormat="1" ht="20.100000000000001" customHeight="1" x14ac:dyDescent="0.25"/>
    <row r="513" s="169" customFormat="1" ht="20.100000000000001" customHeight="1" x14ac:dyDescent="0.25"/>
    <row r="514" s="169" customFormat="1" ht="20.100000000000001" customHeight="1" x14ac:dyDescent="0.25"/>
    <row r="515" s="169" customFormat="1" ht="20.100000000000001" customHeight="1" x14ac:dyDescent="0.25"/>
    <row r="516" s="169" customFormat="1" ht="20.100000000000001" customHeight="1" x14ac:dyDescent="0.25"/>
    <row r="517" s="169" customFormat="1" ht="20.100000000000001" customHeight="1" x14ac:dyDescent="0.25"/>
    <row r="518" s="169" customFormat="1" ht="20.100000000000001" customHeight="1" x14ac:dyDescent="0.25"/>
    <row r="519" s="169" customFormat="1" ht="20.100000000000001" customHeight="1" x14ac:dyDescent="0.25"/>
    <row r="520" s="169" customFormat="1" ht="20.100000000000001" customHeight="1" x14ac:dyDescent="0.25"/>
    <row r="521" s="169" customFormat="1" ht="20.100000000000001" customHeight="1" x14ac:dyDescent="0.25"/>
    <row r="522" s="169" customFormat="1" ht="20.100000000000001" customHeight="1" x14ac:dyDescent="0.25"/>
    <row r="523" s="169" customFormat="1" ht="20.100000000000001" customHeight="1" x14ac:dyDescent="0.25"/>
    <row r="524" s="169" customFormat="1" ht="20.100000000000001" customHeight="1" x14ac:dyDescent="0.25"/>
    <row r="525" s="169" customFormat="1" ht="20.100000000000001" customHeight="1" x14ac:dyDescent="0.25"/>
    <row r="526" s="169" customFormat="1" ht="20.100000000000001" customHeight="1" x14ac:dyDescent="0.25"/>
    <row r="527" s="169" customFormat="1" ht="20.100000000000001" customHeight="1" x14ac:dyDescent="0.25"/>
    <row r="528" s="169" customFormat="1" ht="20.100000000000001" customHeight="1" x14ac:dyDescent="0.25"/>
    <row r="529" s="169" customFormat="1" ht="20.100000000000001" customHeight="1" x14ac:dyDescent="0.25"/>
    <row r="530" s="169" customFormat="1" ht="20.100000000000001" customHeight="1" x14ac:dyDescent="0.25"/>
    <row r="531" s="169" customFormat="1" ht="20.100000000000001" customHeight="1" x14ac:dyDescent="0.25"/>
    <row r="532" s="169" customFormat="1" ht="20.100000000000001" customHeight="1" x14ac:dyDescent="0.25"/>
    <row r="533" s="169" customFormat="1" ht="20.100000000000001" customHeight="1" x14ac:dyDescent="0.25"/>
    <row r="534" s="169" customFormat="1" ht="20.100000000000001" customHeight="1" x14ac:dyDescent="0.25"/>
    <row r="535" s="169" customFormat="1" ht="20.100000000000001" customHeight="1" x14ac:dyDescent="0.25"/>
    <row r="536" s="169" customFormat="1" ht="20.100000000000001" customHeight="1" x14ac:dyDescent="0.25"/>
    <row r="537" s="169" customFormat="1" ht="20.100000000000001" customHeight="1" x14ac:dyDescent="0.25"/>
    <row r="538" s="169" customFormat="1" ht="20.100000000000001" customHeight="1" x14ac:dyDescent="0.25"/>
    <row r="539" s="169" customFormat="1" ht="20.100000000000001" customHeight="1" x14ac:dyDescent="0.25"/>
    <row r="540" s="169" customFormat="1" ht="20.100000000000001" customHeight="1" x14ac:dyDescent="0.25"/>
    <row r="541" s="169" customFormat="1" ht="20.100000000000001" customHeight="1" x14ac:dyDescent="0.25"/>
    <row r="542" s="169" customFormat="1" ht="20.100000000000001" customHeight="1" x14ac:dyDescent="0.25"/>
    <row r="543" s="169" customFormat="1" ht="20.100000000000001" customHeight="1" x14ac:dyDescent="0.25"/>
    <row r="544" s="169" customFormat="1" ht="20.100000000000001" customHeight="1" x14ac:dyDescent="0.25"/>
    <row r="545" s="169" customFormat="1" ht="20.100000000000001" customHeight="1" x14ac:dyDescent="0.25"/>
    <row r="546" s="169" customFormat="1" ht="20.100000000000001" customHeight="1" x14ac:dyDescent="0.25"/>
    <row r="547" s="169" customFormat="1" ht="20.100000000000001" customHeight="1" x14ac:dyDescent="0.25"/>
    <row r="548" s="169" customFormat="1" ht="20.100000000000001" customHeight="1" x14ac:dyDescent="0.25"/>
    <row r="549" s="169" customFormat="1" ht="20.100000000000001" customHeight="1" x14ac:dyDescent="0.25"/>
    <row r="550" s="169" customFormat="1" ht="20.100000000000001" customHeight="1" x14ac:dyDescent="0.25"/>
    <row r="551" s="169" customFormat="1" ht="20.100000000000001" customHeight="1" x14ac:dyDescent="0.25"/>
    <row r="552" s="169" customFormat="1" ht="20.100000000000001" customHeight="1" x14ac:dyDescent="0.25"/>
    <row r="553" s="169" customFormat="1" ht="20.100000000000001" customHeight="1" x14ac:dyDescent="0.25"/>
    <row r="554" s="169" customFormat="1" ht="20.100000000000001" customHeight="1" x14ac:dyDescent="0.25"/>
    <row r="555" s="169" customFormat="1" ht="20.100000000000001" customHeight="1" x14ac:dyDescent="0.25"/>
    <row r="556" s="169" customFormat="1" ht="20.100000000000001" customHeight="1" x14ac:dyDescent="0.25"/>
    <row r="557" s="169" customFormat="1" ht="20.100000000000001" customHeight="1" x14ac:dyDescent="0.25"/>
    <row r="558" s="169" customFormat="1" ht="20.100000000000001" customHeight="1" x14ac:dyDescent="0.25"/>
    <row r="559" s="169" customFormat="1" ht="20.100000000000001" customHeight="1" x14ac:dyDescent="0.25"/>
    <row r="560" s="169" customFormat="1" ht="20.100000000000001" customHeight="1" x14ac:dyDescent="0.25"/>
    <row r="561" s="169" customFormat="1" ht="20.100000000000001" customHeight="1" x14ac:dyDescent="0.25"/>
    <row r="562" s="169" customFormat="1" ht="20.100000000000001" customHeight="1" x14ac:dyDescent="0.25"/>
    <row r="563" s="169" customFormat="1" ht="20.100000000000001" customHeight="1" x14ac:dyDescent="0.25"/>
    <row r="564" s="169" customFormat="1" ht="20.100000000000001" customHeight="1" x14ac:dyDescent="0.25"/>
    <row r="565" s="169" customFormat="1" ht="20.100000000000001" customHeight="1" x14ac:dyDescent="0.25"/>
    <row r="566" s="169" customFormat="1" ht="20.100000000000001" customHeight="1" x14ac:dyDescent="0.25"/>
    <row r="567" s="169" customFormat="1" ht="20.100000000000001" customHeight="1" x14ac:dyDescent="0.25"/>
    <row r="568" s="169" customFormat="1" ht="20.100000000000001" customHeight="1" x14ac:dyDescent="0.25"/>
    <row r="569" s="169" customFormat="1" ht="20.100000000000001" customHeight="1" x14ac:dyDescent="0.25"/>
    <row r="570" s="169" customFormat="1" ht="20.100000000000001" customHeight="1" x14ac:dyDescent="0.25"/>
    <row r="571" s="169" customFormat="1" ht="20.100000000000001" customHeight="1" x14ac:dyDescent="0.25"/>
    <row r="572" s="169" customFormat="1" ht="20.100000000000001" customHeight="1" x14ac:dyDescent="0.25"/>
    <row r="573" s="169" customFormat="1" ht="20.100000000000001" customHeight="1" x14ac:dyDescent="0.25"/>
    <row r="574" s="169" customFormat="1" ht="20.100000000000001" customHeight="1" x14ac:dyDescent="0.25"/>
    <row r="575" s="169" customFormat="1" ht="20.100000000000001" customHeight="1" x14ac:dyDescent="0.25"/>
    <row r="576" s="169" customFormat="1" ht="20.100000000000001" customHeight="1" x14ac:dyDescent="0.25"/>
    <row r="577" s="169" customFormat="1" ht="20.100000000000001" customHeight="1" x14ac:dyDescent="0.25"/>
    <row r="578" s="169" customFormat="1" ht="20.100000000000001" customHeight="1" x14ac:dyDescent="0.25"/>
    <row r="579" s="169" customFormat="1" ht="20.100000000000001" customHeight="1" x14ac:dyDescent="0.25"/>
    <row r="580" s="169" customFormat="1" ht="20.100000000000001" customHeight="1" x14ac:dyDescent="0.25"/>
    <row r="581" s="169" customFormat="1" ht="20.100000000000001" customHeight="1" x14ac:dyDescent="0.25"/>
    <row r="582" s="169" customFormat="1" ht="20.100000000000001" customHeight="1" x14ac:dyDescent="0.25"/>
    <row r="583" s="169" customFormat="1" ht="20.100000000000001" customHeight="1" x14ac:dyDescent="0.25"/>
    <row r="584" s="169" customFormat="1" ht="20.100000000000001" customHeight="1" x14ac:dyDescent="0.25"/>
    <row r="585" s="169" customFormat="1" ht="20.100000000000001" customHeight="1" x14ac:dyDescent="0.25"/>
    <row r="586" s="169" customFormat="1" ht="20.100000000000001" customHeight="1" x14ac:dyDescent="0.25"/>
    <row r="587" s="169" customFormat="1" ht="20.100000000000001" customHeight="1" x14ac:dyDescent="0.25"/>
    <row r="588" s="169" customFormat="1" ht="20.100000000000001" customHeight="1" x14ac:dyDescent="0.25"/>
    <row r="589" s="169" customFormat="1" ht="20.100000000000001" customHeight="1" x14ac:dyDescent="0.25"/>
    <row r="590" s="169" customFormat="1" ht="20.100000000000001" customHeight="1" x14ac:dyDescent="0.25"/>
    <row r="591" s="169" customFormat="1" ht="20.100000000000001" customHeight="1" x14ac:dyDescent="0.25"/>
    <row r="592" s="169" customFormat="1" ht="20.100000000000001" customHeight="1" x14ac:dyDescent="0.25"/>
    <row r="593" s="169" customFormat="1" ht="20.100000000000001" customHeight="1" x14ac:dyDescent="0.25"/>
    <row r="594" s="169" customFormat="1" ht="20.100000000000001" customHeight="1" x14ac:dyDescent="0.25"/>
    <row r="595" s="169" customFormat="1" ht="20.100000000000001" customHeight="1" x14ac:dyDescent="0.25"/>
    <row r="596" s="169" customFormat="1" ht="20.100000000000001" customHeight="1" x14ac:dyDescent="0.25"/>
    <row r="597" s="169" customFormat="1" ht="20.100000000000001" customHeight="1" x14ac:dyDescent="0.25"/>
    <row r="598" s="169" customFormat="1" ht="20.100000000000001" customHeight="1" x14ac:dyDescent="0.25"/>
    <row r="599" s="169" customFormat="1" ht="20.100000000000001" customHeight="1" x14ac:dyDescent="0.25"/>
    <row r="600" s="169" customFormat="1" ht="20.100000000000001" customHeight="1" x14ac:dyDescent="0.25"/>
    <row r="601" s="169" customFormat="1" ht="20.100000000000001" customHeight="1" x14ac:dyDescent="0.25"/>
    <row r="602" s="169" customFormat="1" ht="20.100000000000001" customHeight="1" x14ac:dyDescent="0.25"/>
    <row r="603" s="169" customFormat="1" ht="20.100000000000001" customHeight="1" x14ac:dyDescent="0.25"/>
    <row r="604" s="169" customFormat="1" ht="20.100000000000001" customHeight="1" x14ac:dyDescent="0.25"/>
    <row r="605" s="169" customFormat="1" ht="20.100000000000001" customHeight="1" x14ac:dyDescent="0.25"/>
    <row r="606" s="169" customFormat="1" ht="20.100000000000001" customHeight="1" x14ac:dyDescent="0.25"/>
    <row r="607" s="169" customFormat="1" ht="20.100000000000001" customHeight="1" x14ac:dyDescent="0.25"/>
    <row r="608" s="169" customFormat="1" ht="20.100000000000001" customHeight="1" x14ac:dyDescent="0.25"/>
    <row r="609" s="169" customFormat="1" ht="20.100000000000001" customHeight="1" x14ac:dyDescent="0.25"/>
    <row r="610" s="169" customFormat="1" ht="20.100000000000001" customHeight="1" x14ac:dyDescent="0.25"/>
    <row r="611" s="169" customFormat="1" ht="20.100000000000001" customHeight="1" x14ac:dyDescent="0.25"/>
    <row r="612" s="169" customFormat="1" ht="20.100000000000001" customHeight="1" x14ac:dyDescent="0.25"/>
    <row r="613" s="169" customFormat="1" ht="20.100000000000001" customHeight="1" x14ac:dyDescent="0.25"/>
    <row r="614" s="169" customFormat="1" ht="20.100000000000001" customHeight="1" x14ac:dyDescent="0.25"/>
    <row r="615" s="169" customFormat="1" ht="20.100000000000001" customHeight="1" x14ac:dyDescent="0.25"/>
    <row r="616" s="169" customFormat="1" ht="20.100000000000001" customHeight="1" x14ac:dyDescent="0.25"/>
    <row r="617" s="169" customFormat="1" ht="20.100000000000001" customHeight="1" x14ac:dyDescent="0.25"/>
    <row r="618" s="169" customFormat="1" ht="20.100000000000001" customHeight="1" x14ac:dyDescent="0.25"/>
    <row r="619" s="169" customFormat="1" ht="20.100000000000001" customHeight="1" x14ac:dyDescent="0.25"/>
    <row r="620" s="169" customFormat="1" ht="20.100000000000001" customHeight="1" x14ac:dyDescent="0.25"/>
    <row r="621" s="169" customFormat="1" ht="20.100000000000001" customHeight="1" x14ac:dyDescent="0.25"/>
    <row r="622" s="169" customFormat="1" ht="20.100000000000001" customHeight="1" x14ac:dyDescent="0.25"/>
    <row r="623" s="169" customFormat="1" ht="20.100000000000001" customHeight="1" x14ac:dyDescent="0.25"/>
    <row r="624" s="169" customFormat="1" ht="20.100000000000001" customHeight="1" x14ac:dyDescent="0.25"/>
    <row r="625" s="169" customFormat="1" ht="20.100000000000001" customHeight="1" x14ac:dyDescent="0.25"/>
    <row r="626" s="169" customFormat="1" ht="20.100000000000001" customHeight="1" x14ac:dyDescent="0.25"/>
    <row r="627" s="169" customFormat="1" ht="20.100000000000001" customHeight="1" x14ac:dyDescent="0.25"/>
    <row r="628" s="169" customFormat="1" ht="20.100000000000001" customHeight="1" x14ac:dyDescent="0.25"/>
    <row r="629" s="169" customFormat="1" ht="20.100000000000001" customHeight="1" x14ac:dyDescent="0.25"/>
    <row r="630" s="169" customFormat="1" ht="20.100000000000001" customHeight="1" x14ac:dyDescent="0.25"/>
    <row r="631" s="169" customFormat="1" ht="20.100000000000001" customHeight="1" x14ac:dyDescent="0.25"/>
    <row r="632" s="169" customFormat="1" ht="20.100000000000001" customHeight="1" x14ac:dyDescent="0.25"/>
    <row r="633" s="169" customFormat="1" ht="20.100000000000001" customHeight="1" x14ac:dyDescent="0.25"/>
    <row r="634" s="169" customFormat="1" ht="20.100000000000001" customHeight="1" x14ac:dyDescent="0.25"/>
    <row r="635" s="169" customFormat="1" ht="20.100000000000001" customHeight="1" x14ac:dyDescent="0.25"/>
    <row r="636" s="169" customFormat="1" ht="20.100000000000001" customHeight="1" x14ac:dyDescent="0.25"/>
    <row r="637" s="169" customFormat="1" ht="20.100000000000001" customHeight="1" x14ac:dyDescent="0.25"/>
    <row r="638" s="169" customFormat="1" ht="20.100000000000001" customHeight="1" x14ac:dyDescent="0.25"/>
    <row r="639" s="169" customFormat="1" ht="20.100000000000001" customHeight="1" x14ac:dyDescent="0.25"/>
    <row r="640" s="169" customFormat="1" ht="20.100000000000001" customHeight="1" x14ac:dyDescent="0.25"/>
    <row r="641" s="169" customFormat="1" ht="20.100000000000001" customHeight="1" x14ac:dyDescent="0.25"/>
    <row r="642" s="169" customFormat="1" ht="20.100000000000001" customHeight="1" x14ac:dyDescent="0.25"/>
    <row r="643" s="169" customFormat="1" ht="20.100000000000001" customHeight="1" x14ac:dyDescent="0.25"/>
    <row r="644" s="169" customFormat="1" ht="20.100000000000001" customHeight="1" x14ac:dyDescent="0.25"/>
    <row r="645" s="169" customFormat="1" ht="20.100000000000001" customHeight="1" x14ac:dyDescent="0.25"/>
    <row r="646" s="169" customFormat="1" ht="20.100000000000001" customHeight="1" x14ac:dyDescent="0.25"/>
    <row r="647" s="169" customFormat="1" ht="20.100000000000001" customHeight="1" x14ac:dyDescent="0.25"/>
    <row r="648" s="169" customFormat="1" ht="20.100000000000001" customHeight="1" x14ac:dyDescent="0.25"/>
    <row r="649" s="169" customFormat="1" ht="20.100000000000001" customHeight="1" x14ac:dyDescent="0.25"/>
    <row r="650" s="169" customFormat="1" ht="20.100000000000001" customHeight="1" x14ac:dyDescent="0.25"/>
    <row r="651" s="169" customFormat="1" ht="20.100000000000001" customHeight="1" x14ac:dyDescent="0.25"/>
    <row r="652" s="169" customFormat="1" ht="20.100000000000001" customHeight="1" x14ac:dyDescent="0.25"/>
    <row r="653" s="169" customFormat="1" ht="20.100000000000001" customHeight="1" x14ac:dyDescent="0.25"/>
    <row r="654" s="169" customFormat="1" ht="20.100000000000001" customHeight="1" x14ac:dyDescent="0.25"/>
    <row r="655" s="169" customFormat="1" ht="20.100000000000001" customHeight="1" x14ac:dyDescent="0.25"/>
    <row r="656" s="169" customFormat="1" ht="20.100000000000001" customHeight="1" x14ac:dyDescent="0.25"/>
    <row r="657" s="169" customFormat="1" ht="20.100000000000001" customHeight="1" x14ac:dyDescent="0.25"/>
    <row r="658" s="169" customFormat="1" ht="20.100000000000001" customHeight="1" x14ac:dyDescent="0.25"/>
    <row r="659" s="169" customFormat="1" ht="20.100000000000001" customHeight="1" x14ac:dyDescent="0.25"/>
    <row r="660" s="169" customFormat="1" ht="20.100000000000001" customHeight="1" x14ac:dyDescent="0.25"/>
    <row r="661" s="169" customFormat="1" ht="20.100000000000001" customHeight="1" x14ac:dyDescent="0.25"/>
    <row r="662" s="169" customFormat="1" ht="20.100000000000001" customHeight="1" x14ac:dyDescent="0.25"/>
    <row r="663" s="169" customFormat="1" ht="20.100000000000001" customHeight="1" x14ac:dyDescent="0.25"/>
    <row r="664" s="169" customFormat="1" ht="20.100000000000001" customHeight="1" x14ac:dyDescent="0.25"/>
    <row r="665" s="169" customFormat="1" ht="20.100000000000001" customHeight="1" x14ac:dyDescent="0.25"/>
    <row r="666" s="169" customFormat="1" ht="20.100000000000001" customHeight="1" x14ac:dyDescent="0.25"/>
    <row r="667" s="169" customFormat="1" ht="20.100000000000001" customHeight="1" x14ac:dyDescent="0.25"/>
    <row r="668" s="169" customFormat="1" ht="20.100000000000001" customHeight="1" x14ac:dyDescent="0.25"/>
    <row r="669" s="169" customFormat="1" ht="20.100000000000001" customHeight="1" x14ac:dyDescent="0.25"/>
    <row r="670" s="169" customFormat="1" ht="20.100000000000001" customHeight="1" x14ac:dyDescent="0.25"/>
    <row r="671" s="169" customFormat="1" ht="20.100000000000001" customHeight="1" x14ac:dyDescent="0.25"/>
    <row r="672" s="169" customFormat="1" ht="20.100000000000001" customHeight="1" x14ac:dyDescent="0.25"/>
    <row r="673" s="169" customFormat="1" ht="20.100000000000001" customHeight="1" x14ac:dyDescent="0.25"/>
    <row r="674" s="169" customFormat="1" ht="20.100000000000001" customHeight="1" x14ac:dyDescent="0.25"/>
    <row r="675" s="169" customFormat="1" ht="20.100000000000001" customHeight="1" x14ac:dyDescent="0.25"/>
    <row r="676" s="169" customFormat="1" ht="20.100000000000001" customHeight="1" x14ac:dyDescent="0.25"/>
    <row r="677" s="169" customFormat="1" ht="20.100000000000001" customHeight="1" x14ac:dyDescent="0.25"/>
    <row r="678" s="169" customFormat="1" ht="20.100000000000001" customHeight="1" x14ac:dyDescent="0.25"/>
    <row r="679" s="169" customFormat="1" ht="20.100000000000001" customHeight="1" x14ac:dyDescent="0.25"/>
    <row r="680" s="169" customFormat="1" ht="20.100000000000001" customHeight="1" x14ac:dyDescent="0.25"/>
    <row r="681" s="169" customFormat="1" ht="20.100000000000001" customHeight="1" x14ac:dyDescent="0.25"/>
    <row r="682" s="169" customFormat="1" ht="20.100000000000001" customHeight="1" x14ac:dyDescent="0.25"/>
    <row r="683" s="169" customFormat="1" ht="20.100000000000001" customHeight="1" x14ac:dyDescent="0.25"/>
    <row r="684" s="169" customFormat="1" ht="20.100000000000001" customHeight="1" x14ac:dyDescent="0.25"/>
    <row r="685" s="169" customFormat="1" ht="20.100000000000001" customHeight="1" x14ac:dyDescent="0.25"/>
    <row r="686" s="169" customFormat="1" ht="20.100000000000001" customHeight="1" x14ac:dyDescent="0.25"/>
    <row r="687" s="169" customFormat="1" ht="20.100000000000001" customHeight="1" x14ac:dyDescent="0.25"/>
    <row r="688" s="169" customFormat="1" ht="20.100000000000001" customHeight="1" x14ac:dyDescent="0.25"/>
    <row r="689" s="169" customFormat="1" ht="20.100000000000001" customHeight="1" x14ac:dyDescent="0.25"/>
    <row r="690" s="169" customFormat="1" ht="20.100000000000001" customHeight="1" x14ac:dyDescent="0.25"/>
    <row r="691" s="169" customFormat="1" ht="20.100000000000001" customHeight="1" x14ac:dyDescent="0.25"/>
    <row r="692" s="169" customFormat="1" ht="20.100000000000001" customHeight="1" x14ac:dyDescent="0.25"/>
    <row r="693" s="169" customFormat="1" ht="20.100000000000001" customHeight="1" x14ac:dyDescent="0.25"/>
    <row r="694" s="169" customFormat="1" ht="20.100000000000001" customHeight="1" x14ac:dyDescent="0.25"/>
    <row r="695" s="169" customFormat="1" ht="20.100000000000001" customHeight="1" x14ac:dyDescent="0.25"/>
    <row r="696" s="169" customFormat="1" ht="20.100000000000001" customHeight="1" x14ac:dyDescent="0.25"/>
    <row r="697" s="169" customFormat="1" ht="20.100000000000001" customHeight="1" x14ac:dyDescent="0.25"/>
    <row r="698" s="169" customFormat="1" ht="20.100000000000001" customHeight="1" x14ac:dyDescent="0.25"/>
    <row r="699" s="169" customFormat="1" ht="20.100000000000001" customHeight="1" x14ac:dyDescent="0.25"/>
    <row r="700" s="169" customFormat="1" ht="20.100000000000001" customHeight="1" x14ac:dyDescent="0.25"/>
    <row r="701" s="169" customFormat="1" ht="20.100000000000001" customHeight="1" x14ac:dyDescent="0.25"/>
    <row r="702" s="169" customFormat="1" ht="20.100000000000001" customHeight="1" x14ac:dyDescent="0.25"/>
    <row r="703" s="169" customFormat="1" ht="20.100000000000001" customHeight="1" x14ac:dyDescent="0.25"/>
    <row r="704" s="169" customFormat="1" ht="20.100000000000001" customHeight="1" x14ac:dyDescent="0.25"/>
    <row r="705" s="169" customFormat="1" ht="20.100000000000001" customHeight="1" x14ac:dyDescent="0.25"/>
    <row r="706" s="169" customFormat="1" ht="20.100000000000001" customHeight="1" x14ac:dyDescent="0.25"/>
    <row r="707" s="169" customFormat="1" ht="20.100000000000001" customHeight="1" x14ac:dyDescent="0.25"/>
    <row r="708" s="169" customFormat="1" ht="20.100000000000001" customHeight="1" x14ac:dyDescent="0.25"/>
    <row r="709" s="169" customFormat="1" ht="20.100000000000001" customHeight="1" x14ac:dyDescent="0.25"/>
    <row r="710" s="169" customFormat="1" ht="20.100000000000001" customHeight="1" x14ac:dyDescent="0.25"/>
    <row r="711" s="169" customFormat="1" ht="20.100000000000001" customHeight="1" x14ac:dyDescent="0.25"/>
    <row r="712" s="169" customFormat="1" ht="20.100000000000001" customHeight="1" x14ac:dyDescent="0.25"/>
    <row r="713" s="169" customFormat="1" ht="20.100000000000001" customHeight="1" x14ac:dyDescent="0.25"/>
    <row r="714" s="169" customFormat="1" ht="20.100000000000001" customHeight="1" x14ac:dyDescent="0.25"/>
    <row r="715" s="169" customFormat="1" ht="20.100000000000001" customHeight="1" x14ac:dyDescent="0.25"/>
    <row r="716" s="169" customFormat="1" ht="20.100000000000001" customHeight="1" x14ac:dyDescent="0.25"/>
    <row r="717" s="169" customFormat="1" ht="20.100000000000001" customHeight="1" x14ac:dyDescent="0.25"/>
    <row r="718" s="169" customFormat="1" ht="20.100000000000001" customHeight="1" x14ac:dyDescent="0.25"/>
    <row r="719" s="169" customFormat="1" ht="20.100000000000001" customHeight="1" x14ac:dyDescent="0.25"/>
    <row r="720" s="169" customFormat="1" ht="20.100000000000001" customHeight="1" x14ac:dyDescent="0.25"/>
    <row r="721" s="169" customFormat="1" ht="20.100000000000001" customHeight="1" x14ac:dyDescent="0.25"/>
    <row r="722" s="169" customFormat="1" ht="20.100000000000001" customHeight="1" x14ac:dyDescent="0.25"/>
    <row r="723" s="169" customFormat="1" ht="20.100000000000001" customHeight="1" x14ac:dyDescent="0.25"/>
    <row r="724" s="169" customFormat="1" ht="20.100000000000001" customHeight="1" x14ac:dyDescent="0.25"/>
    <row r="725" s="169" customFormat="1" ht="20.100000000000001" customHeight="1" x14ac:dyDescent="0.25"/>
    <row r="726" s="169" customFormat="1" ht="20.100000000000001" customHeight="1" x14ac:dyDescent="0.25"/>
    <row r="727" s="169" customFormat="1" ht="20.100000000000001" customHeight="1" x14ac:dyDescent="0.25"/>
    <row r="728" s="169" customFormat="1" ht="20.100000000000001" customHeight="1" x14ac:dyDescent="0.25"/>
    <row r="729" s="169" customFormat="1" ht="20.100000000000001" customHeight="1" x14ac:dyDescent="0.25"/>
    <row r="730" s="169" customFormat="1" ht="20.100000000000001" customHeight="1" x14ac:dyDescent="0.25"/>
    <row r="731" s="169" customFormat="1" ht="20.100000000000001" customHeight="1" x14ac:dyDescent="0.25"/>
    <row r="732" s="169" customFormat="1" ht="20.100000000000001" customHeight="1" x14ac:dyDescent="0.25"/>
    <row r="733" s="169" customFormat="1" ht="20.100000000000001" customHeight="1" x14ac:dyDescent="0.25"/>
    <row r="734" s="169" customFormat="1" ht="20.100000000000001" customHeight="1" x14ac:dyDescent="0.25"/>
    <row r="735" s="169" customFormat="1" ht="20.100000000000001" customHeight="1" x14ac:dyDescent="0.25"/>
    <row r="736" s="169" customFormat="1" ht="20.100000000000001" customHeight="1" x14ac:dyDescent="0.25"/>
    <row r="737" s="169" customFormat="1" ht="20.100000000000001" customHeight="1" x14ac:dyDescent="0.25"/>
    <row r="738" s="169" customFormat="1" ht="20.100000000000001" customHeight="1" x14ac:dyDescent="0.25"/>
    <row r="739" s="169" customFormat="1" ht="20.100000000000001" customHeight="1" x14ac:dyDescent="0.25"/>
    <row r="740" s="169" customFormat="1" ht="20.100000000000001" customHeight="1" x14ac:dyDescent="0.25"/>
    <row r="741" s="169" customFormat="1" ht="20.100000000000001" customHeight="1" x14ac:dyDescent="0.25"/>
    <row r="742" s="169" customFormat="1" ht="20.100000000000001" customHeight="1" x14ac:dyDescent="0.25"/>
    <row r="743" s="169" customFormat="1" ht="20.100000000000001" customHeight="1" x14ac:dyDescent="0.25"/>
    <row r="744" s="169" customFormat="1" ht="20.100000000000001" customHeight="1" x14ac:dyDescent="0.25"/>
    <row r="745" s="169" customFormat="1" ht="20.100000000000001" customHeight="1" x14ac:dyDescent="0.25"/>
    <row r="746" s="169" customFormat="1" ht="20.100000000000001" customHeight="1" x14ac:dyDescent="0.25"/>
    <row r="747" s="169" customFormat="1" ht="20.100000000000001" customHeight="1" x14ac:dyDescent="0.25"/>
    <row r="748" s="169" customFormat="1" ht="20.100000000000001" customHeight="1" x14ac:dyDescent="0.25"/>
    <row r="749" s="169" customFormat="1" ht="20.100000000000001" customHeight="1" x14ac:dyDescent="0.25"/>
    <row r="750" s="169" customFormat="1" ht="20.100000000000001" customHeight="1" x14ac:dyDescent="0.25"/>
    <row r="751" s="169" customFormat="1" ht="20.100000000000001" customHeight="1" x14ac:dyDescent="0.25"/>
    <row r="752" s="169" customFormat="1" ht="20.100000000000001" customHeight="1" x14ac:dyDescent="0.25"/>
    <row r="753" s="169" customFormat="1" ht="20.100000000000001" customHeight="1" x14ac:dyDescent="0.25"/>
    <row r="754" s="169" customFormat="1" ht="20.100000000000001" customHeight="1" x14ac:dyDescent="0.25"/>
    <row r="755" s="169" customFormat="1" ht="20.100000000000001" customHeight="1" x14ac:dyDescent="0.25"/>
    <row r="756" s="169" customFormat="1" ht="20.100000000000001" customHeight="1" x14ac:dyDescent="0.25"/>
    <row r="757" s="169" customFormat="1" ht="20.100000000000001" customHeight="1" x14ac:dyDescent="0.25"/>
    <row r="758" s="169" customFormat="1" ht="20.100000000000001" customHeight="1" x14ac:dyDescent="0.25"/>
    <row r="759" s="169" customFormat="1" ht="20.100000000000001" customHeight="1" x14ac:dyDescent="0.25"/>
    <row r="760" s="169" customFormat="1" ht="20.100000000000001" customHeight="1" x14ac:dyDescent="0.25"/>
    <row r="761" s="169" customFormat="1" ht="20.100000000000001" customHeight="1" x14ac:dyDescent="0.25"/>
    <row r="762" s="169" customFormat="1" ht="20.100000000000001" customHeight="1" x14ac:dyDescent="0.25"/>
    <row r="763" s="169" customFormat="1" ht="20.100000000000001" customHeight="1" x14ac:dyDescent="0.25"/>
    <row r="764" s="169" customFormat="1" ht="20.100000000000001" customHeight="1" x14ac:dyDescent="0.25"/>
    <row r="765" s="169" customFormat="1" ht="20.100000000000001" customHeight="1" x14ac:dyDescent="0.25"/>
    <row r="766" s="169" customFormat="1" ht="20.100000000000001" customHeight="1" x14ac:dyDescent="0.25"/>
    <row r="767" s="169" customFormat="1" ht="20.100000000000001" customHeight="1" x14ac:dyDescent="0.25"/>
    <row r="768" s="169" customFormat="1" ht="20.100000000000001" customHeight="1" x14ac:dyDescent="0.25"/>
    <row r="769" spans="7:31" s="169" customFormat="1" ht="20.100000000000001" customHeight="1" x14ac:dyDescent="0.25"/>
    <row r="770" spans="7:31" s="169" customFormat="1" ht="20.100000000000001" customHeight="1" x14ac:dyDescent="0.25"/>
    <row r="771" spans="7:31" s="169" customFormat="1" ht="20.100000000000001" customHeight="1" x14ac:dyDescent="0.25"/>
    <row r="772" spans="7:31" s="169" customFormat="1" ht="20.100000000000001" customHeight="1" x14ac:dyDescent="0.25"/>
    <row r="773" spans="7:31" s="169" customFormat="1" ht="20.100000000000001" customHeight="1" x14ac:dyDescent="0.25"/>
    <row r="774" spans="7:31" s="169" customFormat="1" ht="20.100000000000001" customHeight="1" x14ac:dyDescent="0.25"/>
    <row r="775" spans="7:31" s="169" customFormat="1" ht="20.100000000000001" customHeight="1" x14ac:dyDescent="0.25"/>
    <row r="776" spans="7:31" s="169" customFormat="1" ht="20.100000000000001" customHeight="1" x14ac:dyDescent="0.25"/>
    <row r="777" spans="7:31" s="169" customFormat="1" ht="20.100000000000001" customHeight="1" x14ac:dyDescent="0.25"/>
    <row r="778" spans="7:31" s="169" customFormat="1" ht="20.100000000000001" customHeight="1" x14ac:dyDescent="0.25"/>
    <row r="779" spans="7:31" s="169" customFormat="1" ht="20.100000000000001" customHeight="1" x14ac:dyDescent="0.25"/>
    <row r="780" spans="7:31" ht="20.100000000000001" customHeight="1" x14ac:dyDescent="0.2">
      <c r="G780" s="165"/>
      <c r="H780" s="165"/>
      <c r="J780" s="165"/>
      <c r="K780" s="165"/>
      <c r="O780" s="165"/>
      <c r="P780" s="165"/>
      <c r="Q780" s="165"/>
      <c r="R780" s="165"/>
      <c r="T780" s="165"/>
      <c r="Y780" s="165"/>
      <c r="Z780" s="165"/>
      <c r="AA780" s="165"/>
      <c r="AE780" s="165"/>
    </row>
    <row r="781" spans="7:31" ht="20.100000000000001" customHeight="1" x14ac:dyDescent="0.2">
      <c r="G781" s="165"/>
      <c r="H781" s="165"/>
      <c r="J781" s="165"/>
      <c r="K781" s="165"/>
      <c r="O781" s="165"/>
      <c r="P781" s="165"/>
      <c r="Q781" s="165"/>
      <c r="R781" s="165"/>
      <c r="T781" s="165"/>
      <c r="Y781" s="165"/>
      <c r="Z781" s="165"/>
      <c r="AA781" s="165"/>
      <c r="AE781" s="165"/>
    </row>
    <row r="782" spans="7:31" ht="20.100000000000001" customHeight="1" x14ac:dyDescent="0.2">
      <c r="G782" s="165"/>
      <c r="H782" s="165"/>
      <c r="J782" s="165"/>
      <c r="K782" s="165"/>
      <c r="O782" s="165"/>
      <c r="P782" s="165"/>
      <c r="Q782" s="165"/>
      <c r="R782" s="165"/>
      <c r="T782" s="165"/>
      <c r="Y782" s="165"/>
      <c r="Z782" s="165"/>
      <c r="AA782" s="165"/>
      <c r="AE782" s="165"/>
    </row>
    <row r="783" spans="7:31" ht="20.100000000000001" customHeight="1" x14ac:dyDescent="0.2">
      <c r="G783" s="165"/>
      <c r="H783" s="165"/>
      <c r="J783" s="165"/>
      <c r="K783" s="165"/>
      <c r="O783" s="165"/>
      <c r="P783" s="165"/>
      <c r="Q783" s="165"/>
      <c r="R783" s="165"/>
      <c r="T783" s="165"/>
      <c r="Y783" s="165"/>
      <c r="Z783" s="165"/>
      <c r="AA783" s="165"/>
      <c r="AE783" s="165"/>
    </row>
    <row r="784" spans="7:31" ht="20.100000000000001" customHeight="1" x14ac:dyDescent="0.2">
      <c r="G784" s="165"/>
      <c r="H784" s="165"/>
      <c r="J784" s="165"/>
      <c r="K784" s="165"/>
      <c r="O784" s="165"/>
      <c r="P784" s="165"/>
      <c r="Q784" s="165"/>
      <c r="R784" s="165"/>
      <c r="T784" s="165"/>
      <c r="Y784" s="165"/>
      <c r="Z784" s="165"/>
      <c r="AA784" s="165"/>
      <c r="AE784" s="165"/>
    </row>
    <row r="785" spans="7:31" ht="20.100000000000001" customHeight="1" x14ac:dyDescent="0.2">
      <c r="G785" s="165"/>
      <c r="H785" s="165"/>
      <c r="J785" s="165"/>
      <c r="K785" s="165"/>
      <c r="O785" s="165"/>
      <c r="P785" s="165"/>
      <c r="Q785" s="165"/>
      <c r="R785" s="165"/>
      <c r="T785" s="165"/>
      <c r="Y785" s="165"/>
      <c r="Z785" s="165"/>
      <c r="AA785" s="165"/>
      <c r="AE785" s="165"/>
    </row>
    <row r="786" spans="7:31" ht="20.100000000000001" customHeight="1" x14ac:dyDescent="0.2">
      <c r="G786" s="165"/>
      <c r="H786" s="165"/>
      <c r="J786" s="165"/>
      <c r="K786" s="165"/>
      <c r="O786" s="165"/>
      <c r="P786" s="165"/>
      <c r="Q786" s="165"/>
      <c r="R786" s="165"/>
      <c r="T786" s="165"/>
      <c r="Y786" s="165"/>
      <c r="Z786" s="165"/>
      <c r="AA786" s="165"/>
      <c r="AE786" s="165"/>
    </row>
    <row r="787" spans="7:31" ht="20.100000000000001" customHeight="1" x14ac:dyDescent="0.2">
      <c r="G787" s="165"/>
      <c r="H787" s="165"/>
      <c r="J787" s="165"/>
      <c r="K787" s="165"/>
      <c r="O787" s="165"/>
      <c r="P787" s="165"/>
      <c r="Q787" s="165"/>
      <c r="R787" s="165"/>
      <c r="T787" s="165"/>
      <c r="Y787" s="165"/>
      <c r="Z787" s="165"/>
      <c r="AA787" s="165"/>
      <c r="AE787" s="165"/>
    </row>
    <row r="788" spans="7:31" ht="20.100000000000001" customHeight="1" x14ac:dyDescent="0.2">
      <c r="G788" s="165"/>
      <c r="H788" s="165"/>
      <c r="J788" s="165"/>
      <c r="K788" s="165"/>
      <c r="O788" s="165"/>
      <c r="P788" s="165"/>
      <c r="Q788" s="165"/>
      <c r="R788" s="165"/>
      <c r="T788" s="165"/>
      <c r="Y788" s="165"/>
      <c r="Z788" s="165"/>
      <c r="AA788" s="165"/>
      <c r="AE788" s="165"/>
    </row>
    <row r="789" spans="7:31" ht="20.100000000000001" customHeight="1" x14ac:dyDescent="0.2">
      <c r="G789" s="165"/>
      <c r="H789" s="165"/>
      <c r="J789" s="165"/>
      <c r="K789" s="165"/>
      <c r="O789" s="165"/>
      <c r="P789" s="165"/>
      <c r="Q789" s="165"/>
      <c r="R789" s="165"/>
      <c r="T789" s="165"/>
      <c r="Y789" s="165"/>
      <c r="Z789" s="165"/>
      <c r="AA789" s="165"/>
      <c r="AE789" s="165"/>
    </row>
    <row r="790" spans="7:31" ht="20.100000000000001" customHeight="1" x14ac:dyDescent="0.2">
      <c r="G790" s="165"/>
      <c r="H790" s="165"/>
      <c r="J790" s="165"/>
      <c r="K790" s="165"/>
      <c r="O790" s="165"/>
      <c r="P790" s="165"/>
      <c r="Q790" s="165"/>
      <c r="R790" s="165"/>
      <c r="T790" s="165"/>
      <c r="Y790" s="165"/>
      <c r="Z790" s="165"/>
      <c r="AA790" s="165"/>
      <c r="AE790" s="165"/>
    </row>
    <row r="791" spans="7:31" ht="20.100000000000001" customHeight="1" x14ac:dyDescent="0.2">
      <c r="G791" s="165"/>
      <c r="H791" s="165"/>
      <c r="J791" s="165"/>
      <c r="K791" s="165"/>
      <c r="O791" s="165"/>
      <c r="P791" s="165"/>
      <c r="Q791" s="165"/>
      <c r="R791" s="165"/>
      <c r="T791" s="165"/>
      <c r="Y791" s="165"/>
      <c r="Z791" s="165"/>
      <c r="AA791" s="165"/>
      <c r="AE791" s="165"/>
    </row>
    <row r="792" spans="7:31" ht="20.100000000000001" customHeight="1" x14ac:dyDescent="0.2">
      <c r="G792" s="165"/>
      <c r="H792" s="165"/>
      <c r="J792" s="165"/>
      <c r="K792" s="165"/>
      <c r="O792" s="165"/>
      <c r="P792" s="165"/>
      <c r="Q792" s="165"/>
      <c r="R792" s="165"/>
      <c r="T792" s="165"/>
      <c r="Y792" s="165"/>
      <c r="Z792" s="165"/>
      <c r="AA792" s="165"/>
      <c r="AE792" s="165"/>
    </row>
    <row r="793" spans="7:31" ht="20.100000000000001" customHeight="1" x14ac:dyDescent="0.2">
      <c r="G793" s="165"/>
      <c r="H793" s="165"/>
      <c r="J793" s="165"/>
      <c r="K793" s="165"/>
      <c r="O793" s="165"/>
      <c r="P793" s="165"/>
      <c r="Q793" s="165"/>
      <c r="R793" s="165"/>
      <c r="T793" s="165"/>
      <c r="Y793" s="165"/>
      <c r="Z793" s="165"/>
      <c r="AA793" s="165"/>
      <c r="AE793" s="165"/>
    </row>
    <row r="794" spans="7:31" ht="20.100000000000001" customHeight="1" x14ac:dyDescent="0.2">
      <c r="G794" s="165"/>
      <c r="H794" s="165"/>
      <c r="J794" s="165"/>
      <c r="K794" s="165"/>
      <c r="O794" s="165"/>
      <c r="P794" s="165"/>
      <c r="Q794" s="165"/>
      <c r="R794" s="165"/>
      <c r="T794" s="165"/>
      <c r="Y794" s="165"/>
      <c r="Z794" s="165"/>
      <c r="AA794" s="165"/>
      <c r="AE794" s="165"/>
    </row>
    <row r="795" spans="7:31" ht="20.100000000000001" customHeight="1" x14ac:dyDescent="0.2">
      <c r="G795" s="165"/>
      <c r="H795" s="165"/>
      <c r="J795" s="165"/>
      <c r="K795" s="165"/>
      <c r="O795" s="165"/>
      <c r="P795" s="165"/>
      <c r="Q795" s="165"/>
      <c r="R795" s="165"/>
      <c r="T795" s="165"/>
      <c r="Y795" s="165"/>
      <c r="Z795" s="165"/>
      <c r="AA795" s="165"/>
      <c r="AE795" s="165"/>
    </row>
    <row r="796" spans="7:31" ht="20.100000000000001" customHeight="1" x14ac:dyDescent="0.2">
      <c r="G796" s="165"/>
      <c r="H796" s="165"/>
      <c r="J796" s="165"/>
      <c r="K796" s="165"/>
      <c r="O796" s="165"/>
      <c r="P796" s="165"/>
      <c r="Q796" s="165"/>
      <c r="R796" s="165"/>
      <c r="T796" s="165"/>
      <c r="Y796" s="165"/>
      <c r="Z796" s="165"/>
      <c r="AA796" s="165"/>
      <c r="AE796" s="165"/>
    </row>
    <row r="797" spans="7:31" ht="20.100000000000001" customHeight="1" x14ac:dyDescent="0.2">
      <c r="G797" s="165"/>
      <c r="H797" s="165"/>
      <c r="J797" s="165"/>
      <c r="K797" s="165"/>
      <c r="O797" s="165"/>
      <c r="P797" s="165"/>
      <c r="Q797" s="165"/>
      <c r="R797" s="165"/>
      <c r="T797" s="165"/>
      <c r="Y797" s="165"/>
      <c r="Z797" s="165"/>
      <c r="AA797" s="165"/>
      <c r="AE797" s="165"/>
    </row>
    <row r="798" spans="7:31" ht="20.100000000000001" customHeight="1" x14ac:dyDescent="0.2">
      <c r="G798" s="165"/>
      <c r="H798" s="165"/>
      <c r="J798" s="165"/>
      <c r="K798" s="165"/>
      <c r="O798" s="165"/>
      <c r="P798" s="165"/>
      <c r="Q798" s="165"/>
      <c r="R798" s="165"/>
      <c r="T798" s="165"/>
      <c r="Y798" s="165"/>
      <c r="Z798" s="165"/>
      <c r="AA798" s="165"/>
      <c r="AE798" s="165"/>
    </row>
    <row r="799" spans="7:31" ht="20.100000000000001" customHeight="1" x14ac:dyDescent="0.2">
      <c r="G799" s="165"/>
      <c r="H799" s="165"/>
      <c r="J799" s="165"/>
      <c r="K799" s="165"/>
      <c r="O799" s="165"/>
      <c r="P799" s="165"/>
      <c r="Q799" s="165"/>
      <c r="R799" s="165"/>
      <c r="T799" s="165"/>
      <c r="Y799" s="165"/>
      <c r="Z799" s="165"/>
      <c r="AA799" s="165"/>
      <c r="AE799" s="165"/>
    </row>
    <row r="800" spans="7:31" ht="20.100000000000001" customHeight="1" x14ac:dyDescent="0.2">
      <c r="G800" s="165"/>
      <c r="H800" s="165"/>
      <c r="J800" s="165"/>
      <c r="K800" s="165"/>
      <c r="O800" s="165"/>
      <c r="P800" s="165"/>
      <c r="Q800" s="165"/>
      <c r="R800" s="165"/>
      <c r="T800" s="165"/>
      <c r="Y800" s="165"/>
      <c r="Z800" s="165"/>
      <c r="AA800" s="165"/>
      <c r="AE800" s="165"/>
    </row>
    <row r="801" spans="7:31" ht="20.100000000000001" customHeight="1" x14ac:dyDescent="0.2">
      <c r="G801" s="165"/>
      <c r="H801" s="165"/>
      <c r="J801" s="165"/>
      <c r="K801" s="165"/>
      <c r="O801" s="165"/>
      <c r="P801" s="165"/>
      <c r="Q801" s="165"/>
      <c r="R801" s="165"/>
      <c r="T801" s="165"/>
      <c r="Y801" s="165"/>
      <c r="Z801" s="165"/>
      <c r="AA801" s="165"/>
      <c r="AE801" s="165"/>
    </row>
    <row r="802" spans="7:31" ht="20.100000000000001" customHeight="1" x14ac:dyDescent="0.2">
      <c r="G802" s="165"/>
      <c r="H802" s="165"/>
      <c r="J802" s="165"/>
      <c r="K802" s="165"/>
      <c r="O802" s="165"/>
      <c r="P802" s="165"/>
      <c r="Q802" s="165"/>
      <c r="R802" s="165"/>
      <c r="T802" s="165"/>
      <c r="Y802" s="165"/>
      <c r="Z802" s="165"/>
      <c r="AA802" s="165"/>
      <c r="AE802" s="165"/>
    </row>
    <row r="803" spans="7:31" ht="20.100000000000001" customHeight="1" x14ac:dyDescent="0.2">
      <c r="G803" s="165"/>
      <c r="H803" s="165"/>
      <c r="J803" s="165"/>
      <c r="K803" s="165"/>
      <c r="O803" s="165"/>
      <c r="P803" s="165"/>
      <c r="Q803" s="165"/>
      <c r="R803" s="165"/>
      <c r="T803" s="165"/>
      <c r="Y803" s="165"/>
      <c r="Z803" s="165"/>
      <c r="AA803" s="165"/>
      <c r="AE803" s="165"/>
    </row>
    <row r="804" spans="7:31" ht="20.100000000000001" customHeight="1" x14ac:dyDescent="0.2">
      <c r="G804" s="165"/>
      <c r="H804" s="165"/>
      <c r="J804" s="165"/>
      <c r="K804" s="165"/>
      <c r="O804" s="165"/>
      <c r="P804" s="165"/>
      <c r="Q804" s="165"/>
      <c r="R804" s="165"/>
      <c r="T804" s="165"/>
      <c r="Y804" s="165"/>
      <c r="Z804" s="165"/>
      <c r="AA804" s="165"/>
      <c r="AE804" s="165"/>
    </row>
    <row r="805" spans="7:31" ht="20.100000000000001" customHeight="1" x14ac:dyDescent="0.2">
      <c r="G805" s="165"/>
      <c r="H805" s="165"/>
      <c r="J805" s="165"/>
      <c r="K805" s="165"/>
      <c r="O805" s="165"/>
      <c r="P805" s="165"/>
      <c r="Q805" s="165"/>
      <c r="R805" s="165"/>
      <c r="T805" s="165"/>
      <c r="Y805" s="165"/>
      <c r="Z805" s="165"/>
      <c r="AA805" s="165"/>
      <c r="AE805" s="165"/>
    </row>
    <row r="806" spans="7:31" ht="20.100000000000001" customHeight="1" x14ac:dyDescent="0.2">
      <c r="G806" s="165"/>
      <c r="H806" s="165"/>
      <c r="J806" s="165"/>
      <c r="K806" s="165"/>
      <c r="O806" s="165"/>
      <c r="P806" s="165"/>
      <c r="Q806" s="165"/>
      <c r="R806" s="165"/>
      <c r="T806" s="165"/>
      <c r="Y806" s="165"/>
      <c r="Z806" s="165"/>
      <c r="AA806" s="165"/>
      <c r="AE806" s="165"/>
    </row>
    <row r="807" spans="7:31" ht="20.100000000000001" customHeight="1" x14ac:dyDescent="0.2">
      <c r="G807" s="165"/>
      <c r="H807" s="165"/>
      <c r="J807" s="165"/>
      <c r="K807" s="165"/>
      <c r="O807" s="165"/>
      <c r="P807" s="165"/>
      <c r="Q807" s="165"/>
      <c r="R807" s="165"/>
      <c r="T807" s="165"/>
      <c r="Y807" s="165"/>
      <c r="Z807" s="165"/>
      <c r="AA807" s="165"/>
      <c r="AE807" s="165"/>
    </row>
    <row r="808" spans="7:31" ht="20.100000000000001" customHeight="1" x14ac:dyDescent="0.2">
      <c r="G808" s="165"/>
      <c r="H808" s="165"/>
      <c r="J808" s="165"/>
      <c r="K808" s="165"/>
      <c r="O808" s="165"/>
      <c r="P808" s="165"/>
      <c r="Q808" s="165"/>
      <c r="R808" s="165"/>
      <c r="T808" s="165"/>
      <c r="Y808" s="165"/>
      <c r="Z808" s="165"/>
      <c r="AA808" s="165"/>
      <c r="AE808" s="165"/>
    </row>
    <row r="809" spans="7:31" ht="20.100000000000001" customHeight="1" x14ac:dyDescent="0.2">
      <c r="G809" s="165"/>
      <c r="H809" s="165"/>
      <c r="J809" s="165"/>
      <c r="K809" s="165"/>
      <c r="O809" s="165"/>
      <c r="P809" s="165"/>
      <c r="Q809" s="165"/>
      <c r="R809" s="165"/>
      <c r="T809" s="165"/>
      <c r="Y809" s="165"/>
      <c r="Z809" s="165"/>
      <c r="AA809" s="165"/>
      <c r="AE809" s="165"/>
    </row>
    <row r="810" spans="7:31" ht="20.100000000000001" customHeight="1" x14ac:dyDescent="0.2">
      <c r="G810" s="165"/>
      <c r="H810" s="165"/>
      <c r="J810" s="165"/>
      <c r="K810" s="165"/>
      <c r="O810" s="165"/>
      <c r="P810" s="165"/>
      <c r="Q810" s="165"/>
      <c r="R810" s="165"/>
      <c r="T810" s="165"/>
      <c r="Y810" s="165"/>
      <c r="Z810" s="165"/>
      <c r="AA810" s="165"/>
      <c r="AE810" s="165"/>
    </row>
    <row r="811" spans="7:31" ht="20.100000000000001" customHeight="1" x14ac:dyDescent="0.2">
      <c r="G811" s="165"/>
      <c r="H811" s="165"/>
      <c r="J811" s="165"/>
      <c r="K811" s="165"/>
      <c r="O811" s="165"/>
      <c r="P811" s="165"/>
      <c r="Q811" s="165"/>
      <c r="R811" s="165"/>
      <c r="T811" s="165"/>
      <c r="Y811" s="165"/>
      <c r="Z811" s="165"/>
      <c r="AA811" s="165"/>
      <c r="AE811" s="165"/>
    </row>
    <row r="812" spans="7:31" ht="20.100000000000001" customHeight="1" x14ac:dyDescent="0.2">
      <c r="G812" s="165"/>
      <c r="H812" s="165"/>
      <c r="J812" s="165"/>
      <c r="K812" s="165"/>
      <c r="O812" s="165"/>
      <c r="P812" s="165"/>
      <c r="Q812" s="165"/>
      <c r="R812" s="165"/>
      <c r="T812" s="165"/>
      <c r="Y812" s="165"/>
      <c r="Z812" s="165"/>
      <c r="AA812" s="165"/>
      <c r="AE812" s="165"/>
    </row>
    <row r="813" spans="7:31" ht="20.100000000000001" customHeight="1" x14ac:dyDescent="0.2">
      <c r="G813" s="165"/>
      <c r="H813" s="165"/>
      <c r="J813" s="165"/>
      <c r="K813" s="165"/>
      <c r="O813" s="165"/>
      <c r="P813" s="165"/>
      <c r="Q813" s="165"/>
      <c r="R813" s="165"/>
      <c r="T813" s="165"/>
      <c r="Y813" s="165"/>
      <c r="Z813" s="165"/>
      <c r="AA813" s="165"/>
      <c r="AE813" s="165"/>
    </row>
    <row r="814" spans="7:31" ht="20.100000000000001" customHeight="1" x14ac:dyDescent="0.2">
      <c r="G814" s="165"/>
      <c r="H814" s="165"/>
      <c r="J814" s="165"/>
      <c r="K814" s="165"/>
      <c r="O814" s="165"/>
      <c r="P814" s="165"/>
      <c r="Q814" s="165"/>
      <c r="R814" s="165"/>
      <c r="T814" s="165"/>
      <c r="Y814" s="165"/>
      <c r="Z814" s="165"/>
      <c r="AA814" s="165"/>
      <c r="AE814" s="165"/>
    </row>
    <row r="815" spans="7:31" ht="20.100000000000001" customHeight="1" x14ac:dyDescent="0.2">
      <c r="G815" s="165"/>
      <c r="H815" s="165"/>
      <c r="J815" s="165"/>
      <c r="K815" s="165"/>
      <c r="O815" s="165"/>
      <c r="P815" s="165"/>
      <c r="Q815" s="165"/>
      <c r="R815" s="165"/>
      <c r="T815" s="165"/>
      <c r="Y815" s="165"/>
      <c r="Z815" s="165"/>
      <c r="AA815" s="165"/>
      <c r="AE815" s="165"/>
    </row>
    <row r="816" spans="7:31" ht="20.100000000000001" customHeight="1" x14ac:dyDescent="0.2">
      <c r="G816" s="165"/>
      <c r="H816" s="165"/>
      <c r="J816" s="165"/>
      <c r="K816" s="165"/>
      <c r="O816" s="165"/>
      <c r="P816" s="165"/>
      <c r="Q816" s="165"/>
      <c r="R816" s="165"/>
      <c r="T816" s="165"/>
      <c r="Y816" s="165"/>
      <c r="Z816" s="165"/>
      <c r="AA816" s="165"/>
      <c r="AE816" s="165"/>
    </row>
    <row r="817" spans="7:31" ht="20.100000000000001" customHeight="1" x14ac:dyDescent="0.2">
      <c r="G817" s="165"/>
      <c r="H817" s="165"/>
      <c r="J817" s="165"/>
      <c r="K817" s="165"/>
      <c r="O817" s="165"/>
      <c r="P817" s="165"/>
      <c r="Q817" s="165"/>
      <c r="R817" s="165"/>
      <c r="T817" s="165"/>
      <c r="Y817" s="165"/>
      <c r="Z817" s="165"/>
      <c r="AA817" s="165"/>
      <c r="AE817" s="165"/>
    </row>
    <row r="818" spans="7:31" ht="20.100000000000001" customHeight="1" x14ac:dyDescent="0.2">
      <c r="G818" s="165"/>
      <c r="H818" s="165"/>
      <c r="J818" s="165"/>
      <c r="K818" s="165"/>
      <c r="O818" s="165"/>
      <c r="P818" s="165"/>
      <c r="Q818" s="165"/>
      <c r="R818" s="165"/>
      <c r="T818" s="165"/>
      <c r="Y818" s="165"/>
      <c r="Z818" s="165"/>
      <c r="AA818" s="165"/>
      <c r="AE818" s="165"/>
    </row>
    <row r="819" spans="7:31" ht="20.100000000000001" customHeight="1" x14ac:dyDescent="0.2">
      <c r="G819" s="165"/>
      <c r="H819" s="165"/>
      <c r="J819" s="165"/>
      <c r="K819" s="165"/>
      <c r="O819" s="165"/>
      <c r="P819" s="165"/>
      <c r="Q819" s="165"/>
      <c r="R819" s="165"/>
      <c r="T819" s="165"/>
      <c r="Y819" s="165"/>
      <c r="Z819" s="165"/>
      <c r="AA819" s="165"/>
      <c r="AE819" s="165"/>
    </row>
    <row r="820" spans="7:31" ht="20.100000000000001" customHeight="1" x14ac:dyDescent="0.2">
      <c r="G820" s="165"/>
      <c r="H820" s="165"/>
      <c r="J820" s="165"/>
      <c r="K820" s="165"/>
      <c r="O820" s="165"/>
      <c r="P820" s="165"/>
      <c r="Q820" s="165"/>
      <c r="R820" s="165"/>
      <c r="T820" s="165"/>
      <c r="Y820" s="165"/>
      <c r="Z820" s="165"/>
      <c r="AA820" s="165"/>
      <c r="AE820" s="165"/>
    </row>
    <row r="821" spans="7:31" ht="20.100000000000001" customHeight="1" x14ac:dyDescent="0.2">
      <c r="G821" s="165"/>
      <c r="H821" s="165"/>
      <c r="J821" s="165"/>
      <c r="K821" s="165"/>
      <c r="O821" s="165"/>
      <c r="P821" s="165"/>
      <c r="Q821" s="165"/>
      <c r="R821" s="165"/>
      <c r="T821" s="165"/>
      <c r="Y821" s="165"/>
      <c r="Z821" s="165"/>
      <c r="AA821" s="165"/>
      <c r="AE821" s="165"/>
    </row>
    <row r="822" spans="7:31" ht="20.100000000000001" customHeight="1" x14ac:dyDescent="0.2">
      <c r="G822" s="165"/>
      <c r="H822" s="165"/>
      <c r="J822" s="165"/>
      <c r="K822" s="165"/>
      <c r="O822" s="165"/>
      <c r="P822" s="165"/>
      <c r="Q822" s="165"/>
      <c r="R822" s="165"/>
      <c r="T822" s="165"/>
      <c r="Y822" s="165"/>
      <c r="Z822" s="165"/>
      <c r="AA822" s="165"/>
      <c r="AE822" s="165"/>
    </row>
    <row r="823" spans="7:31" ht="20.100000000000001" customHeight="1" x14ac:dyDescent="0.2">
      <c r="G823" s="165"/>
      <c r="H823" s="165"/>
      <c r="J823" s="165"/>
      <c r="K823" s="165"/>
      <c r="O823" s="165"/>
      <c r="P823" s="165"/>
      <c r="Q823" s="165"/>
      <c r="R823" s="165"/>
      <c r="T823" s="165"/>
      <c r="Y823" s="165"/>
      <c r="Z823" s="165"/>
      <c r="AA823" s="165"/>
      <c r="AE823" s="165"/>
    </row>
    <row r="824" spans="7:31" ht="20.100000000000001" customHeight="1" x14ac:dyDescent="0.2">
      <c r="G824" s="165"/>
      <c r="H824" s="165"/>
      <c r="J824" s="165"/>
      <c r="K824" s="165"/>
      <c r="O824" s="165"/>
      <c r="P824" s="165"/>
      <c r="Q824" s="165"/>
      <c r="R824" s="165"/>
      <c r="T824" s="165"/>
      <c r="Y824" s="165"/>
      <c r="Z824" s="165"/>
      <c r="AA824" s="165"/>
      <c r="AE824" s="165"/>
    </row>
    <row r="825" spans="7:31" ht="20.100000000000001" customHeight="1" x14ac:dyDescent="0.2">
      <c r="G825" s="165"/>
      <c r="H825" s="165"/>
      <c r="J825" s="165"/>
      <c r="K825" s="165"/>
      <c r="O825" s="165"/>
      <c r="P825" s="165"/>
      <c r="Q825" s="165"/>
      <c r="R825" s="165"/>
      <c r="T825" s="165"/>
      <c r="Y825" s="165"/>
      <c r="Z825" s="165"/>
      <c r="AA825" s="165"/>
      <c r="AE825" s="165"/>
    </row>
    <row r="826" spans="7:31" ht="20.100000000000001" customHeight="1" x14ac:dyDescent="0.2">
      <c r="G826" s="165"/>
      <c r="H826" s="165"/>
      <c r="J826" s="165"/>
      <c r="K826" s="165"/>
      <c r="O826" s="165"/>
      <c r="P826" s="165"/>
      <c r="Q826" s="165"/>
      <c r="R826" s="165"/>
      <c r="T826" s="165"/>
      <c r="Y826" s="165"/>
      <c r="Z826" s="165"/>
      <c r="AA826" s="165"/>
      <c r="AE826" s="165"/>
    </row>
    <row r="827" spans="7:31" ht="20.100000000000001" customHeight="1" x14ac:dyDescent="0.2">
      <c r="G827" s="165"/>
      <c r="H827" s="165"/>
      <c r="J827" s="165"/>
      <c r="K827" s="165"/>
      <c r="O827" s="165"/>
      <c r="P827" s="165"/>
      <c r="Q827" s="165"/>
      <c r="R827" s="165"/>
      <c r="T827" s="165"/>
      <c r="Y827" s="165"/>
      <c r="Z827" s="165"/>
      <c r="AA827" s="165"/>
      <c r="AE827" s="165"/>
    </row>
    <row r="828" spans="7:31" ht="20.100000000000001" customHeight="1" x14ac:dyDescent="0.2">
      <c r="G828" s="165"/>
      <c r="H828" s="165"/>
      <c r="J828" s="165"/>
      <c r="K828" s="165"/>
      <c r="O828" s="165"/>
      <c r="P828" s="165"/>
      <c r="Q828" s="165"/>
      <c r="R828" s="165"/>
      <c r="T828" s="165"/>
      <c r="Y828" s="165"/>
      <c r="Z828" s="165"/>
      <c r="AA828" s="165"/>
      <c r="AE828" s="165"/>
    </row>
    <row r="829" spans="7:31" ht="20.100000000000001" customHeight="1" x14ac:dyDescent="0.2">
      <c r="G829" s="165"/>
      <c r="H829" s="165"/>
      <c r="J829" s="165"/>
      <c r="K829" s="165"/>
      <c r="O829" s="165"/>
      <c r="P829" s="165"/>
      <c r="Q829" s="165"/>
      <c r="R829" s="165"/>
      <c r="T829" s="165"/>
      <c r="Y829" s="165"/>
      <c r="Z829" s="165"/>
      <c r="AA829" s="165"/>
      <c r="AE829" s="165"/>
    </row>
    <row r="830" spans="7:31" ht="20.100000000000001" customHeight="1" x14ac:dyDescent="0.2">
      <c r="G830" s="165"/>
      <c r="H830" s="165"/>
      <c r="J830" s="165"/>
      <c r="K830" s="165"/>
      <c r="O830" s="165"/>
      <c r="P830" s="165"/>
      <c r="Q830" s="165"/>
      <c r="R830" s="165"/>
      <c r="T830" s="165"/>
      <c r="Y830" s="165"/>
      <c r="Z830" s="165"/>
      <c r="AA830" s="165"/>
      <c r="AE830" s="165"/>
    </row>
    <row r="831" spans="7:31" ht="20.100000000000001" customHeight="1" x14ac:dyDescent="0.2">
      <c r="G831" s="165"/>
      <c r="H831" s="165"/>
      <c r="J831" s="165"/>
      <c r="K831" s="165"/>
      <c r="O831" s="165"/>
      <c r="P831" s="165"/>
      <c r="Q831" s="165"/>
      <c r="R831" s="165"/>
      <c r="T831" s="165"/>
      <c r="Y831" s="165"/>
      <c r="Z831" s="165"/>
      <c r="AA831" s="165"/>
      <c r="AE831" s="165"/>
    </row>
    <row r="832" spans="7:31" ht="20.100000000000001" customHeight="1" x14ac:dyDescent="0.2">
      <c r="G832" s="165"/>
      <c r="H832" s="165"/>
      <c r="J832" s="165"/>
      <c r="K832" s="165"/>
      <c r="O832" s="165"/>
      <c r="P832" s="165"/>
      <c r="Q832" s="165"/>
      <c r="R832" s="165"/>
      <c r="T832" s="165"/>
      <c r="Y832" s="165"/>
      <c r="Z832" s="165"/>
      <c r="AA832" s="165"/>
      <c r="AE832" s="165"/>
    </row>
    <row r="833" spans="7:31" ht="20.100000000000001" customHeight="1" x14ac:dyDescent="0.2">
      <c r="G833" s="165"/>
      <c r="H833" s="165"/>
      <c r="J833" s="165"/>
      <c r="K833" s="165"/>
      <c r="O833" s="165"/>
      <c r="P833" s="165"/>
      <c r="Q833" s="165"/>
      <c r="R833" s="165"/>
      <c r="T833" s="165"/>
      <c r="Y833" s="165"/>
      <c r="Z833" s="165"/>
      <c r="AA833" s="165"/>
      <c r="AE833" s="165"/>
    </row>
    <row r="834" spans="7:31" ht="20.100000000000001" customHeight="1" x14ac:dyDescent="0.2">
      <c r="G834" s="165"/>
      <c r="H834" s="165"/>
      <c r="J834" s="165"/>
      <c r="K834" s="165"/>
      <c r="O834" s="165"/>
      <c r="P834" s="165"/>
      <c r="Q834" s="165"/>
      <c r="R834" s="165"/>
      <c r="T834" s="165"/>
      <c r="Y834" s="165"/>
      <c r="Z834" s="165"/>
      <c r="AA834" s="165"/>
      <c r="AE834" s="165"/>
    </row>
    <row r="835" spans="7:31" ht="20.100000000000001" customHeight="1" x14ac:dyDescent="0.2">
      <c r="G835" s="165"/>
      <c r="H835" s="165"/>
      <c r="J835" s="165"/>
      <c r="K835" s="165"/>
      <c r="O835" s="165"/>
      <c r="P835" s="165"/>
      <c r="Q835" s="165"/>
      <c r="R835" s="165"/>
      <c r="T835" s="165"/>
      <c r="Y835" s="165"/>
      <c r="Z835" s="165"/>
      <c r="AA835" s="165"/>
      <c r="AE835" s="165"/>
    </row>
    <row r="836" spans="7:31" ht="20.100000000000001" customHeight="1" x14ac:dyDescent="0.2">
      <c r="G836" s="165"/>
      <c r="H836" s="165"/>
      <c r="J836" s="165"/>
      <c r="K836" s="165"/>
      <c r="O836" s="165"/>
      <c r="P836" s="165"/>
      <c r="Q836" s="165"/>
      <c r="R836" s="165"/>
      <c r="T836" s="165"/>
      <c r="Y836" s="165"/>
      <c r="Z836" s="165"/>
      <c r="AA836" s="165"/>
      <c r="AE836" s="165"/>
    </row>
    <row r="837" spans="7:31" ht="20.100000000000001" customHeight="1" x14ac:dyDescent="0.2">
      <c r="G837" s="165"/>
      <c r="H837" s="165"/>
      <c r="J837" s="165"/>
      <c r="K837" s="165"/>
      <c r="O837" s="165"/>
      <c r="P837" s="165"/>
      <c r="Q837" s="165"/>
      <c r="R837" s="165"/>
      <c r="T837" s="165"/>
      <c r="Y837" s="165"/>
      <c r="Z837" s="165"/>
      <c r="AA837" s="165"/>
      <c r="AE837" s="165"/>
    </row>
    <row r="838" spans="7:31" ht="20.100000000000001" customHeight="1" x14ac:dyDescent="0.2">
      <c r="G838" s="165"/>
      <c r="H838" s="165"/>
      <c r="J838" s="165"/>
      <c r="K838" s="165"/>
      <c r="O838" s="165"/>
      <c r="P838" s="165"/>
      <c r="Q838" s="165"/>
      <c r="R838" s="165"/>
      <c r="T838" s="165"/>
      <c r="Y838" s="165"/>
      <c r="Z838" s="165"/>
      <c r="AA838" s="165"/>
      <c r="AE838" s="165"/>
    </row>
    <row r="839" spans="7:31" ht="20.100000000000001" customHeight="1" x14ac:dyDescent="0.2">
      <c r="G839" s="165"/>
      <c r="H839" s="165"/>
      <c r="J839" s="165"/>
      <c r="K839" s="165"/>
      <c r="O839" s="165"/>
      <c r="P839" s="165"/>
      <c r="Q839" s="165"/>
      <c r="R839" s="165"/>
      <c r="T839" s="165"/>
      <c r="Y839" s="165"/>
      <c r="Z839" s="165"/>
      <c r="AA839" s="165"/>
      <c r="AE839" s="165"/>
    </row>
    <row r="840" spans="7:31" ht="20.100000000000001" customHeight="1" x14ac:dyDescent="0.2">
      <c r="G840" s="165"/>
      <c r="H840" s="165"/>
      <c r="J840" s="165"/>
      <c r="K840" s="165"/>
      <c r="O840" s="165"/>
      <c r="P840" s="165"/>
      <c r="Q840" s="165"/>
      <c r="R840" s="165"/>
      <c r="T840" s="165"/>
      <c r="Y840" s="165"/>
      <c r="Z840" s="165"/>
      <c r="AA840" s="165"/>
      <c r="AE840" s="165"/>
    </row>
    <row r="841" spans="7:31" ht="20.100000000000001" customHeight="1" x14ac:dyDescent="0.2">
      <c r="G841" s="165"/>
      <c r="H841" s="165"/>
      <c r="J841" s="165"/>
      <c r="K841" s="165"/>
      <c r="O841" s="165"/>
      <c r="P841" s="165"/>
      <c r="Q841" s="165"/>
      <c r="R841" s="165"/>
      <c r="T841" s="165"/>
      <c r="Y841" s="165"/>
      <c r="Z841" s="165"/>
      <c r="AA841" s="165"/>
      <c r="AE841" s="165"/>
    </row>
    <row r="842" spans="7:31" ht="20.100000000000001" customHeight="1" x14ac:dyDescent="0.2">
      <c r="G842" s="165"/>
      <c r="H842" s="165"/>
      <c r="J842" s="165"/>
      <c r="K842" s="165"/>
      <c r="O842" s="165"/>
      <c r="P842" s="165"/>
      <c r="Q842" s="165"/>
      <c r="R842" s="165"/>
      <c r="T842" s="165"/>
      <c r="Y842" s="165"/>
      <c r="Z842" s="165"/>
      <c r="AA842" s="165"/>
      <c r="AE842" s="165"/>
    </row>
    <row r="843" spans="7:31" ht="20.100000000000001" customHeight="1" x14ac:dyDescent="0.2">
      <c r="G843" s="165"/>
      <c r="H843" s="165"/>
      <c r="J843" s="165"/>
      <c r="K843" s="165"/>
      <c r="O843" s="165"/>
      <c r="P843" s="165"/>
      <c r="Q843" s="165"/>
      <c r="R843" s="165"/>
      <c r="T843" s="165"/>
      <c r="Y843" s="165"/>
      <c r="Z843" s="165"/>
      <c r="AA843" s="165"/>
      <c r="AE843" s="165"/>
    </row>
    <row r="844" spans="7:31" ht="20.100000000000001" customHeight="1" x14ac:dyDescent="0.2">
      <c r="G844" s="165"/>
      <c r="H844" s="165"/>
      <c r="J844" s="165"/>
      <c r="K844" s="165"/>
      <c r="O844" s="165"/>
      <c r="P844" s="165"/>
      <c r="Q844" s="165"/>
      <c r="R844" s="165"/>
      <c r="T844" s="165"/>
      <c r="Y844" s="165"/>
      <c r="Z844" s="165"/>
      <c r="AA844" s="165"/>
      <c r="AE844" s="165"/>
    </row>
    <row r="845" spans="7:31" ht="20.100000000000001" customHeight="1" x14ac:dyDescent="0.2">
      <c r="G845" s="165"/>
      <c r="H845" s="165"/>
      <c r="J845" s="165"/>
      <c r="K845" s="165"/>
      <c r="O845" s="165"/>
      <c r="P845" s="165"/>
      <c r="Q845" s="165"/>
      <c r="R845" s="165"/>
      <c r="T845" s="165"/>
      <c r="Y845" s="165"/>
      <c r="Z845" s="165"/>
      <c r="AA845" s="165"/>
      <c r="AE845" s="165"/>
    </row>
    <row r="846" spans="7:31" ht="20.100000000000001" customHeight="1" x14ac:dyDescent="0.2">
      <c r="G846" s="165"/>
      <c r="H846" s="165"/>
      <c r="J846" s="165"/>
      <c r="K846" s="165"/>
      <c r="O846" s="165"/>
      <c r="P846" s="165"/>
      <c r="Q846" s="165"/>
      <c r="R846" s="165"/>
      <c r="T846" s="165"/>
      <c r="Y846" s="165"/>
      <c r="Z846" s="165"/>
      <c r="AA846" s="165"/>
      <c r="AE846" s="165"/>
    </row>
    <row r="847" spans="7:31" ht="20.100000000000001" customHeight="1" x14ac:dyDescent="0.2">
      <c r="G847" s="165"/>
      <c r="H847" s="165"/>
      <c r="J847" s="165"/>
      <c r="K847" s="165"/>
      <c r="O847" s="165"/>
      <c r="P847" s="165"/>
      <c r="Q847" s="165"/>
      <c r="R847" s="165"/>
      <c r="T847" s="165"/>
      <c r="Y847" s="165"/>
      <c r="Z847" s="165"/>
      <c r="AA847" s="165"/>
      <c r="AE847" s="165"/>
    </row>
    <row r="848" spans="7:31" ht="20.100000000000001" customHeight="1" x14ac:dyDescent="0.2">
      <c r="G848" s="165"/>
      <c r="H848" s="165"/>
      <c r="J848" s="165"/>
      <c r="K848" s="165"/>
      <c r="O848" s="165"/>
      <c r="P848" s="165"/>
      <c r="Q848" s="165"/>
      <c r="R848" s="165"/>
      <c r="T848" s="165"/>
      <c r="Y848" s="165"/>
      <c r="Z848" s="165"/>
      <c r="AA848" s="165"/>
      <c r="AE848" s="165"/>
    </row>
    <row r="849" spans="7:31" ht="20.100000000000001" customHeight="1" x14ac:dyDescent="0.2">
      <c r="G849" s="165"/>
      <c r="H849" s="165"/>
      <c r="J849" s="165"/>
      <c r="K849" s="165"/>
      <c r="O849" s="165"/>
      <c r="P849" s="165"/>
      <c r="Q849" s="165"/>
      <c r="R849" s="165"/>
      <c r="T849" s="165"/>
      <c r="Y849" s="165"/>
      <c r="Z849" s="165"/>
      <c r="AA849" s="165"/>
      <c r="AE849" s="165"/>
    </row>
    <row r="850" spans="7:31" ht="20.100000000000001" customHeight="1" x14ac:dyDescent="0.2">
      <c r="G850" s="165"/>
      <c r="H850" s="165"/>
      <c r="J850" s="165"/>
      <c r="K850" s="165"/>
      <c r="O850" s="165"/>
      <c r="P850" s="165"/>
      <c r="Q850" s="165"/>
      <c r="R850" s="165"/>
      <c r="T850" s="165"/>
      <c r="Y850" s="165"/>
      <c r="Z850" s="165"/>
      <c r="AA850" s="165"/>
      <c r="AE850" s="165"/>
    </row>
    <row r="851" spans="7:31" ht="20.100000000000001" customHeight="1" x14ac:dyDescent="0.2">
      <c r="G851" s="165"/>
      <c r="H851" s="165"/>
      <c r="J851" s="165"/>
      <c r="K851" s="165"/>
      <c r="O851" s="165"/>
      <c r="P851" s="165"/>
      <c r="Q851" s="165"/>
      <c r="R851" s="165"/>
      <c r="T851" s="165"/>
      <c r="Y851" s="165"/>
      <c r="Z851" s="165"/>
      <c r="AA851" s="165"/>
      <c r="AE851" s="165"/>
    </row>
    <row r="852" spans="7:31" ht="20.100000000000001" customHeight="1" x14ac:dyDescent="0.2">
      <c r="G852" s="165"/>
      <c r="H852" s="165"/>
      <c r="J852" s="165"/>
      <c r="K852" s="165"/>
      <c r="O852" s="165"/>
      <c r="P852" s="165"/>
      <c r="Q852" s="165"/>
      <c r="R852" s="165"/>
      <c r="T852" s="165"/>
      <c r="Y852" s="165"/>
      <c r="Z852" s="165"/>
      <c r="AA852" s="165"/>
      <c r="AE852" s="165"/>
    </row>
    <row r="853" spans="7:31" ht="20.100000000000001" customHeight="1" x14ac:dyDescent="0.2">
      <c r="G853" s="165"/>
      <c r="H853" s="165"/>
      <c r="J853" s="165"/>
      <c r="K853" s="165"/>
      <c r="O853" s="165"/>
      <c r="P853" s="165"/>
      <c r="Q853" s="165"/>
      <c r="R853" s="165"/>
      <c r="T853" s="165"/>
      <c r="Y853" s="165"/>
      <c r="Z853" s="165"/>
      <c r="AA853" s="165"/>
      <c r="AE853" s="165"/>
    </row>
    <row r="854" spans="7:31" ht="20.100000000000001" customHeight="1" x14ac:dyDescent="0.2">
      <c r="G854" s="165"/>
      <c r="H854" s="165"/>
      <c r="J854" s="165"/>
      <c r="K854" s="165"/>
      <c r="O854" s="165"/>
      <c r="P854" s="165"/>
      <c r="Q854" s="165"/>
      <c r="R854" s="165"/>
      <c r="T854" s="165"/>
      <c r="Y854" s="165"/>
      <c r="Z854" s="165"/>
      <c r="AA854" s="165"/>
      <c r="AE854" s="165"/>
    </row>
    <row r="855" spans="7:31" ht="20.100000000000001" customHeight="1" x14ac:dyDescent="0.2">
      <c r="G855" s="165"/>
      <c r="H855" s="165"/>
      <c r="J855" s="165"/>
      <c r="K855" s="165"/>
      <c r="O855" s="165"/>
      <c r="P855" s="165"/>
      <c r="Q855" s="165"/>
      <c r="R855" s="165"/>
      <c r="T855" s="165"/>
      <c r="Y855" s="165"/>
      <c r="Z855" s="165"/>
      <c r="AA855" s="165"/>
      <c r="AE855" s="165"/>
    </row>
    <row r="856" spans="7:31" ht="20.100000000000001" customHeight="1" x14ac:dyDescent="0.2">
      <c r="G856" s="165"/>
      <c r="H856" s="165"/>
      <c r="J856" s="165"/>
      <c r="K856" s="165"/>
      <c r="O856" s="165"/>
      <c r="P856" s="165"/>
      <c r="Q856" s="165"/>
      <c r="R856" s="165"/>
      <c r="T856" s="165"/>
      <c r="Y856" s="165"/>
      <c r="Z856" s="165"/>
      <c r="AA856" s="165"/>
      <c r="AE856" s="165"/>
    </row>
    <row r="857" spans="7:31" ht="20.100000000000001" customHeight="1" x14ac:dyDescent="0.2">
      <c r="G857" s="165"/>
      <c r="H857" s="165"/>
      <c r="J857" s="165"/>
      <c r="K857" s="165"/>
      <c r="O857" s="165"/>
      <c r="P857" s="165"/>
      <c r="Q857" s="165"/>
      <c r="R857" s="165"/>
      <c r="T857" s="165"/>
      <c r="Y857" s="165"/>
      <c r="Z857" s="165"/>
      <c r="AA857" s="165"/>
      <c r="AE857" s="165"/>
    </row>
    <row r="858" spans="7:31" ht="20.100000000000001" customHeight="1" x14ac:dyDescent="0.2">
      <c r="G858" s="165"/>
      <c r="H858" s="165"/>
      <c r="J858" s="165"/>
      <c r="K858" s="165"/>
      <c r="O858" s="165"/>
      <c r="P858" s="165"/>
      <c r="Q858" s="165"/>
      <c r="R858" s="165"/>
      <c r="T858" s="165"/>
      <c r="Y858" s="165"/>
      <c r="Z858" s="165"/>
      <c r="AA858" s="165"/>
      <c r="AE858" s="165"/>
    </row>
    <row r="859" spans="7:31" ht="20.100000000000001" customHeight="1" x14ac:dyDescent="0.2">
      <c r="G859" s="165"/>
      <c r="H859" s="165"/>
      <c r="J859" s="165"/>
      <c r="K859" s="165"/>
      <c r="O859" s="165"/>
      <c r="P859" s="165"/>
      <c r="Q859" s="165"/>
      <c r="R859" s="165"/>
      <c r="T859" s="165"/>
      <c r="Y859" s="165"/>
      <c r="Z859" s="165"/>
      <c r="AA859" s="165"/>
      <c r="AE859" s="165"/>
    </row>
    <row r="860" spans="7:31" ht="20.100000000000001" customHeight="1" x14ac:dyDescent="0.2">
      <c r="G860" s="165"/>
      <c r="H860" s="165"/>
      <c r="J860" s="165"/>
      <c r="K860" s="165"/>
      <c r="O860" s="165"/>
      <c r="P860" s="165"/>
      <c r="Q860" s="165"/>
      <c r="R860" s="165"/>
      <c r="T860" s="165"/>
      <c r="Y860" s="165"/>
      <c r="Z860" s="165"/>
      <c r="AA860" s="165"/>
      <c r="AE860" s="165"/>
    </row>
    <row r="861" spans="7:31" ht="20.100000000000001" customHeight="1" x14ac:dyDescent="0.2">
      <c r="G861" s="165"/>
      <c r="H861" s="165"/>
      <c r="J861" s="165"/>
      <c r="K861" s="165"/>
      <c r="O861" s="165"/>
      <c r="P861" s="165"/>
      <c r="Q861" s="165"/>
      <c r="R861" s="165"/>
      <c r="T861" s="165"/>
      <c r="Y861" s="165"/>
      <c r="Z861" s="165"/>
      <c r="AA861" s="165"/>
      <c r="AE861" s="165"/>
    </row>
    <row r="862" spans="7:31" ht="20.100000000000001" customHeight="1" x14ac:dyDescent="0.2">
      <c r="G862" s="165"/>
      <c r="H862" s="165"/>
      <c r="J862" s="165"/>
      <c r="K862" s="165"/>
      <c r="O862" s="165"/>
      <c r="P862" s="165"/>
      <c r="Q862" s="165"/>
      <c r="R862" s="165"/>
      <c r="T862" s="165"/>
      <c r="Y862" s="165"/>
      <c r="Z862" s="165"/>
      <c r="AA862" s="165"/>
      <c r="AE862" s="165"/>
    </row>
    <row r="863" spans="7:31" ht="20.100000000000001" customHeight="1" x14ac:dyDescent="0.2">
      <c r="G863" s="165"/>
      <c r="H863" s="165"/>
      <c r="J863" s="165"/>
      <c r="K863" s="165"/>
      <c r="O863" s="165"/>
      <c r="P863" s="165"/>
      <c r="Q863" s="165"/>
      <c r="R863" s="165"/>
      <c r="T863" s="165"/>
      <c r="Y863" s="165"/>
      <c r="Z863" s="165"/>
      <c r="AA863" s="165"/>
      <c r="AE863" s="165"/>
    </row>
    <row r="864" spans="7:31" ht="20.100000000000001" customHeight="1" x14ac:dyDescent="0.2">
      <c r="G864" s="165"/>
      <c r="H864" s="165"/>
      <c r="J864" s="165"/>
      <c r="K864" s="165"/>
      <c r="O864" s="165"/>
      <c r="P864" s="165"/>
      <c r="Q864" s="165"/>
      <c r="R864" s="165"/>
      <c r="T864" s="165"/>
      <c r="Y864" s="165"/>
      <c r="Z864" s="165"/>
      <c r="AA864" s="165"/>
      <c r="AE864" s="165"/>
    </row>
    <row r="865" spans="7:31" ht="20.100000000000001" customHeight="1" x14ac:dyDescent="0.2">
      <c r="G865" s="165"/>
      <c r="H865" s="165"/>
      <c r="J865" s="165"/>
      <c r="K865" s="165"/>
      <c r="O865" s="165"/>
      <c r="P865" s="165"/>
      <c r="Q865" s="165"/>
      <c r="R865" s="165"/>
      <c r="T865" s="165"/>
      <c r="Y865" s="165"/>
      <c r="Z865" s="165"/>
      <c r="AA865" s="165"/>
      <c r="AE865" s="165"/>
    </row>
    <row r="866" spans="7:31" ht="20.100000000000001" customHeight="1" x14ac:dyDescent="0.2">
      <c r="G866" s="165"/>
      <c r="H866" s="165"/>
      <c r="J866" s="165"/>
      <c r="K866" s="165"/>
      <c r="O866" s="165"/>
      <c r="P866" s="165"/>
      <c r="Q866" s="165"/>
      <c r="R866" s="165"/>
      <c r="T866" s="165"/>
      <c r="Y866" s="165"/>
      <c r="Z866" s="165"/>
      <c r="AA866" s="165"/>
      <c r="AE866" s="165"/>
    </row>
    <row r="867" spans="7:31" ht="20.100000000000001" customHeight="1" x14ac:dyDescent="0.2">
      <c r="G867" s="165"/>
      <c r="H867" s="165"/>
      <c r="J867" s="165"/>
      <c r="K867" s="165"/>
      <c r="O867" s="165"/>
      <c r="P867" s="165"/>
      <c r="Q867" s="165"/>
      <c r="R867" s="165"/>
      <c r="T867" s="165"/>
      <c r="Y867" s="165"/>
      <c r="Z867" s="165"/>
      <c r="AA867" s="165"/>
      <c r="AE867" s="165"/>
    </row>
    <row r="868" spans="7:31" ht="20.100000000000001" customHeight="1" x14ac:dyDescent="0.2">
      <c r="G868" s="165"/>
      <c r="H868" s="165"/>
      <c r="J868" s="165"/>
      <c r="K868" s="165"/>
      <c r="O868" s="165"/>
      <c r="P868" s="165"/>
      <c r="Q868" s="165"/>
      <c r="R868" s="165"/>
      <c r="T868" s="165"/>
      <c r="Y868" s="165"/>
      <c r="Z868" s="165"/>
      <c r="AA868" s="165"/>
      <c r="AE868" s="165"/>
    </row>
    <row r="869" spans="7:31" ht="20.100000000000001" customHeight="1" x14ac:dyDescent="0.2">
      <c r="G869" s="165"/>
      <c r="H869" s="165"/>
      <c r="J869" s="165"/>
      <c r="K869" s="165"/>
      <c r="O869" s="165"/>
      <c r="P869" s="165"/>
      <c r="Q869" s="165"/>
      <c r="R869" s="165"/>
      <c r="T869" s="165"/>
      <c r="Y869" s="165"/>
      <c r="Z869" s="165"/>
      <c r="AA869" s="165"/>
      <c r="AE869" s="165"/>
    </row>
    <row r="870" spans="7:31" ht="20.100000000000001" customHeight="1" x14ac:dyDescent="0.2">
      <c r="G870" s="165"/>
      <c r="H870" s="165"/>
      <c r="J870" s="165"/>
      <c r="K870" s="165"/>
      <c r="O870" s="165"/>
      <c r="P870" s="165"/>
      <c r="Q870" s="165"/>
      <c r="R870" s="165"/>
      <c r="T870" s="165"/>
      <c r="Y870" s="165"/>
      <c r="Z870" s="165"/>
      <c r="AA870" s="165"/>
      <c r="AE870" s="165"/>
    </row>
    <row r="871" spans="7:31" ht="20.100000000000001" customHeight="1" x14ac:dyDescent="0.2">
      <c r="G871" s="165"/>
      <c r="H871" s="165"/>
      <c r="J871" s="165"/>
      <c r="K871" s="165"/>
      <c r="O871" s="165"/>
      <c r="P871" s="165"/>
      <c r="Q871" s="165"/>
      <c r="R871" s="165"/>
      <c r="T871" s="165"/>
      <c r="Y871" s="165"/>
      <c r="Z871" s="165"/>
      <c r="AA871" s="165"/>
      <c r="AE871" s="165"/>
    </row>
    <row r="872" spans="7:31" ht="20.100000000000001" customHeight="1" x14ac:dyDescent="0.2">
      <c r="G872" s="165"/>
      <c r="H872" s="165"/>
      <c r="J872" s="165"/>
      <c r="K872" s="165"/>
      <c r="O872" s="165"/>
      <c r="P872" s="165"/>
      <c r="Q872" s="165"/>
      <c r="R872" s="165"/>
      <c r="T872" s="165"/>
      <c r="Y872" s="165"/>
      <c r="Z872" s="165"/>
      <c r="AA872" s="165"/>
      <c r="AE872" s="165"/>
    </row>
    <row r="873" spans="7:31" ht="20.100000000000001" customHeight="1" x14ac:dyDescent="0.2">
      <c r="G873" s="165"/>
      <c r="H873" s="165"/>
      <c r="J873" s="165"/>
      <c r="K873" s="165"/>
      <c r="O873" s="165"/>
      <c r="P873" s="165"/>
      <c r="Q873" s="165"/>
      <c r="R873" s="165"/>
      <c r="T873" s="165"/>
      <c r="Y873" s="165"/>
      <c r="Z873" s="165"/>
      <c r="AA873" s="165"/>
      <c r="AE873" s="165"/>
    </row>
    <row r="874" spans="7:31" ht="20.100000000000001" customHeight="1" x14ac:dyDescent="0.2">
      <c r="G874" s="165"/>
      <c r="H874" s="165"/>
      <c r="J874" s="165"/>
      <c r="K874" s="165"/>
      <c r="O874" s="165"/>
      <c r="P874" s="165"/>
      <c r="Q874" s="165"/>
      <c r="R874" s="165"/>
      <c r="T874" s="165"/>
      <c r="Y874" s="165"/>
      <c r="Z874" s="165"/>
      <c r="AA874" s="165"/>
      <c r="AE874" s="165"/>
    </row>
    <row r="875" spans="7:31" ht="20.100000000000001" customHeight="1" x14ac:dyDescent="0.2">
      <c r="G875" s="165"/>
      <c r="H875" s="165"/>
      <c r="J875" s="165"/>
      <c r="K875" s="165"/>
      <c r="O875" s="165"/>
      <c r="P875" s="165"/>
      <c r="Q875" s="165"/>
      <c r="R875" s="165"/>
      <c r="T875" s="165"/>
      <c r="Y875" s="165"/>
      <c r="Z875" s="165"/>
      <c r="AA875" s="165"/>
      <c r="AE875" s="165"/>
    </row>
    <row r="876" spans="7:31" ht="20.100000000000001" customHeight="1" x14ac:dyDescent="0.2">
      <c r="G876" s="165"/>
      <c r="H876" s="165"/>
      <c r="J876" s="165"/>
      <c r="K876" s="165"/>
      <c r="O876" s="165"/>
      <c r="P876" s="165"/>
      <c r="Q876" s="165"/>
      <c r="R876" s="165"/>
      <c r="T876" s="165"/>
      <c r="Y876" s="165"/>
      <c r="Z876" s="165"/>
      <c r="AA876" s="165"/>
      <c r="AE876" s="165"/>
    </row>
    <row r="877" spans="7:31" ht="20.100000000000001" customHeight="1" x14ac:dyDescent="0.2">
      <c r="G877" s="165"/>
      <c r="H877" s="165"/>
      <c r="J877" s="165"/>
      <c r="K877" s="165"/>
      <c r="O877" s="165"/>
      <c r="P877" s="165"/>
      <c r="Q877" s="165"/>
      <c r="R877" s="165"/>
      <c r="T877" s="165"/>
      <c r="Y877" s="165"/>
      <c r="Z877" s="165"/>
      <c r="AA877" s="165"/>
      <c r="AE877" s="165"/>
    </row>
    <row r="878" spans="7:31" ht="20.100000000000001" customHeight="1" x14ac:dyDescent="0.2">
      <c r="G878" s="165"/>
      <c r="H878" s="165"/>
      <c r="J878" s="165"/>
      <c r="K878" s="165"/>
      <c r="O878" s="165"/>
      <c r="P878" s="165"/>
      <c r="Q878" s="165"/>
      <c r="R878" s="165"/>
      <c r="T878" s="165"/>
      <c r="Y878" s="165"/>
      <c r="Z878" s="165"/>
      <c r="AA878" s="165"/>
      <c r="AE878" s="165"/>
    </row>
    <row r="879" spans="7:31" ht="20.100000000000001" customHeight="1" x14ac:dyDescent="0.2">
      <c r="G879" s="165"/>
      <c r="H879" s="165"/>
      <c r="J879" s="165"/>
      <c r="K879" s="165"/>
      <c r="O879" s="165"/>
      <c r="P879" s="165"/>
      <c r="Q879" s="165"/>
      <c r="R879" s="165"/>
      <c r="T879" s="165"/>
      <c r="Y879" s="165"/>
      <c r="Z879" s="165"/>
      <c r="AA879" s="165"/>
      <c r="AE879" s="165"/>
    </row>
    <row r="880" spans="7:31" ht="20.100000000000001" customHeight="1" x14ac:dyDescent="0.2">
      <c r="G880" s="165"/>
      <c r="H880" s="165"/>
      <c r="J880" s="165"/>
      <c r="K880" s="165"/>
      <c r="O880" s="165"/>
      <c r="P880" s="165"/>
      <c r="Q880" s="165"/>
      <c r="R880" s="165"/>
      <c r="T880" s="165"/>
      <c r="Y880" s="165"/>
      <c r="Z880" s="165"/>
      <c r="AA880" s="165"/>
      <c r="AE880" s="165"/>
    </row>
    <row r="881" spans="7:31" ht="20.100000000000001" customHeight="1" x14ac:dyDescent="0.2">
      <c r="G881" s="165"/>
      <c r="H881" s="165"/>
      <c r="J881" s="165"/>
      <c r="K881" s="165"/>
      <c r="O881" s="165"/>
      <c r="P881" s="165"/>
      <c r="Q881" s="165"/>
      <c r="R881" s="165"/>
      <c r="T881" s="165"/>
      <c r="Y881" s="165"/>
      <c r="Z881" s="165"/>
      <c r="AA881" s="165"/>
      <c r="AE881" s="165"/>
    </row>
    <row r="882" spans="7:31" ht="20.100000000000001" customHeight="1" x14ac:dyDescent="0.2">
      <c r="G882" s="165"/>
      <c r="H882" s="165"/>
      <c r="J882" s="165"/>
      <c r="K882" s="165"/>
      <c r="O882" s="165"/>
      <c r="P882" s="165"/>
      <c r="Q882" s="165"/>
      <c r="R882" s="165"/>
      <c r="T882" s="165"/>
      <c r="Y882" s="165"/>
      <c r="Z882" s="165"/>
      <c r="AA882" s="165"/>
      <c r="AE882" s="165"/>
    </row>
    <row r="883" spans="7:31" ht="20.100000000000001" customHeight="1" x14ac:dyDescent="0.2">
      <c r="G883" s="165"/>
      <c r="H883" s="165"/>
      <c r="J883" s="165"/>
      <c r="K883" s="165"/>
      <c r="O883" s="165"/>
      <c r="P883" s="165"/>
      <c r="Q883" s="165"/>
      <c r="R883" s="165"/>
      <c r="T883" s="165"/>
      <c r="Y883" s="165"/>
      <c r="Z883" s="165"/>
      <c r="AA883" s="165"/>
      <c r="AE883" s="165"/>
    </row>
    <row r="884" spans="7:31" ht="20.100000000000001" customHeight="1" x14ac:dyDescent="0.2">
      <c r="G884" s="165"/>
      <c r="H884" s="165"/>
      <c r="J884" s="165"/>
      <c r="K884" s="165"/>
      <c r="O884" s="165"/>
      <c r="P884" s="165"/>
      <c r="Q884" s="165"/>
      <c r="R884" s="165"/>
      <c r="T884" s="165"/>
      <c r="Y884" s="165"/>
      <c r="Z884" s="165"/>
      <c r="AA884" s="165"/>
      <c r="AE884" s="165"/>
    </row>
    <row r="885" spans="7:31" ht="20.100000000000001" customHeight="1" x14ac:dyDescent="0.2">
      <c r="G885" s="165"/>
      <c r="H885" s="165"/>
      <c r="J885" s="165"/>
      <c r="K885" s="165"/>
      <c r="O885" s="165"/>
      <c r="P885" s="165"/>
      <c r="Q885" s="165"/>
      <c r="R885" s="165"/>
      <c r="T885" s="165"/>
      <c r="Y885" s="165"/>
      <c r="Z885" s="165"/>
      <c r="AA885" s="165"/>
      <c r="AE885" s="165"/>
    </row>
    <row r="886" spans="7:31" ht="20.100000000000001" customHeight="1" x14ac:dyDescent="0.2">
      <c r="G886" s="165"/>
      <c r="H886" s="165"/>
      <c r="J886" s="165"/>
      <c r="K886" s="165"/>
      <c r="O886" s="165"/>
      <c r="P886" s="165"/>
      <c r="Q886" s="165"/>
      <c r="R886" s="165"/>
      <c r="T886" s="165"/>
      <c r="Y886" s="165"/>
      <c r="Z886" s="165"/>
      <c r="AA886" s="165"/>
      <c r="AE886" s="165"/>
    </row>
    <row r="887" spans="7:31" ht="20.100000000000001" customHeight="1" x14ac:dyDescent="0.2">
      <c r="G887" s="165"/>
      <c r="H887" s="165"/>
      <c r="J887" s="165"/>
      <c r="K887" s="165"/>
      <c r="O887" s="165"/>
      <c r="P887" s="165"/>
      <c r="Q887" s="165"/>
      <c r="R887" s="165"/>
      <c r="T887" s="165"/>
      <c r="Y887" s="165"/>
      <c r="Z887" s="165"/>
      <c r="AA887" s="165"/>
      <c r="AE887" s="165"/>
    </row>
    <row r="888" spans="7:31" ht="20.100000000000001" customHeight="1" x14ac:dyDescent="0.2">
      <c r="G888" s="165"/>
      <c r="H888" s="165"/>
      <c r="J888" s="165"/>
      <c r="K888" s="165"/>
      <c r="O888" s="165"/>
      <c r="P888" s="165"/>
      <c r="Q888" s="165"/>
      <c r="R888" s="165"/>
      <c r="T888" s="165"/>
      <c r="Y888" s="165"/>
      <c r="Z888" s="165"/>
      <c r="AA888" s="165"/>
      <c r="AE888" s="165"/>
    </row>
    <row r="889" spans="7:31" ht="20.100000000000001" customHeight="1" x14ac:dyDescent="0.2">
      <c r="G889" s="165"/>
      <c r="H889" s="165"/>
      <c r="J889" s="165"/>
      <c r="K889" s="165"/>
      <c r="O889" s="165"/>
      <c r="P889" s="165"/>
      <c r="Q889" s="165"/>
      <c r="R889" s="165"/>
      <c r="T889" s="165"/>
      <c r="Y889" s="165"/>
      <c r="Z889" s="165"/>
      <c r="AA889" s="165"/>
      <c r="AE889" s="165"/>
    </row>
    <row r="890" spans="7:31" ht="20.100000000000001" customHeight="1" x14ac:dyDescent="0.2">
      <c r="G890" s="165"/>
      <c r="H890" s="165"/>
      <c r="J890" s="165"/>
      <c r="K890" s="165"/>
      <c r="O890" s="165"/>
      <c r="P890" s="165"/>
      <c r="Q890" s="165"/>
      <c r="R890" s="165"/>
      <c r="T890" s="165"/>
      <c r="Y890" s="165"/>
      <c r="Z890" s="165"/>
      <c r="AA890" s="165"/>
      <c r="AE890" s="165"/>
    </row>
    <row r="891" spans="7:31" ht="20.100000000000001" customHeight="1" x14ac:dyDescent="0.2">
      <c r="G891" s="165"/>
      <c r="H891" s="165"/>
      <c r="J891" s="165"/>
      <c r="K891" s="165"/>
      <c r="O891" s="165"/>
      <c r="P891" s="165"/>
      <c r="Q891" s="165"/>
      <c r="R891" s="165"/>
      <c r="T891" s="165"/>
      <c r="Y891" s="165"/>
      <c r="Z891" s="165"/>
      <c r="AA891" s="165"/>
      <c r="AE891" s="165"/>
    </row>
    <row r="892" spans="7:31" ht="20.100000000000001" customHeight="1" x14ac:dyDescent="0.2">
      <c r="G892" s="165"/>
      <c r="H892" s="165"/>
      <c r="J892" s="165"/>
      <c r="K892" s="165"/>
      <c r="O892" s="165"/>
      <c r="P892" s="165"/>
      <c r="Q892" s="165"/>
      <c r="R892" s="165"/>
      <c r="T892" s="165"/>
      <c r="Y892" s="165"/>
      <c r="Z892" s="165"/>
      <c r="AA892" s="165"/>
      <c r="AE892" s="165"/>
    </row>
    <row r="893" spans="7:31" ht="20.100000000000001" customHeight="1" x14ac:dyDescent="0.2">
      <c r="G893" s="165"/>
      <c r="H893" s="165"/>
      <c r="J893" s="165"/>
      <c r="K893" s="165"/>
      <c r="O893" s="165"/>
      <c r="P893" s="165"/>
      <c r="Q893" s="165"/>
      <c r="R893" s="165"/>
      <c r="T893" s="165"/>
      <c r="Y893" s="165"/>
      <c r="Z893" s="165"/>
      <c r="AA893" s="165"/>
      <c r="AE893" s="165"/>
    </row>
    <row r="894" spans="7:31" ht="20.100000000000001" customHeight="1" x14ac:dyDescent="0.2">
      <c r="G894" s="165"/>
      <c r="H894" s="165"/>
      <c r="J894" s="165"/>
      <c r="K894" s="165"/>
      <c r="O894" s="165"/>
      <c r="P894" s="165"/>
      <c r="Q894" s="165"/>
      <c r="R894" s="165"/>
      <c r="T894" s="165"/>
      <c r="Y894" s="165"/>
      <c r="Z894" s="165"/>
      <c r="AA894" s="165"/>
      <c r="AE894" s="165"/>
    </row>
    <row r="895" spans="7:31" ht="20.100000000000001" customHeight="1" x14ac:dyDescent="0.2">
      <c r="G895" s="165"/>
      <c r="H895" s="165"/>
      <c r="J895" s="165"/>
      <c r="K895" s="165"/>
      <c r="O895" s="165"/>
      <c r="P895" s="165"/>
      <c r="Q895" s="165"/>
      <c r="R895" s="165"/>
      <c r="T895" s="165"/>
      <c r="Y895" s="165"/>
      <c r="Z895" s="165"/>
      <c r="AA895" s="165"/>
      <c r="AE895" s="165"/>
    </row>
    <row r="896" spans="7:31" ht="20.100000000000001" customHeight="1" x14ac:dyDescent="0.2">
      <c r="G896" s="165"/>
      <c r="H896" s="165"/>
      <c r="J896" s="165"/>
      <c r="K896" s="165"/>
      <c r="O896" s="165"/>
      <c r="P896" s="165"/>
      <c r="Q896" s="165"/>
      <c r="R896" s="165"/>
      <c r="T896" s="165"/>
      <c r="Y896" s="165"/>
      <c r="Z896" s="165"/>
      <c r="AA896" s="165"/>
      <c r="AE896" s="165"/>
    </row>
    <row r="897" spans="7:31" ht="20.100000000000001" customHeight="1" x14ac:dyDescent="0.2">
      <c r="G897" s="165"/>
      <c r="H897" s="165"/>
      <c r="J897" s="165"/>
      <c r="K897" s="165"/>
      <c r="O897" s="165"/>
      <c r="P897" s="165"/>
      <c r="Q897" s="165"/>
      <c r="R897" s="165"/>
      <c r="T897" s="165"/>
      <c r="Y897" s="165"/>
      <c r="Z897" s="165"/>
      <c r="AA897" s="165"/>
      <c r="AE897" s="165"/>
    </row>
    <row r="898" spans="7:31" ht="20.100000000000001" customHeight="1" x14ac:dyDescent="0.2">
      <c r="G898" s="165"/>
      <c r="H898" s="165"/>
      <c r="J898" s="165"/>
      <c r="K898" s="165"/>
      <c r="O898" s="165"/>
      <c r="P898" s="165"/>
      <c r="Q898" s="165"/>
      <c r="R898" s="165"/>
      <c r="T898" s="165"/>
      <c r="Y898" s="165"/>
      <c r="Z898" s="165"/>
      <c r="AA898" s="165"/>
      <c r="AE898" s="165"/>
    </row>
    <row r="899" spans="7:31" ht="20.100000000000001" customHeight="1" x14ac:dyDescent="0.2">
      <c r="G899" s="165"/>
      <c r="H899" s="165"/>
      <c r="J899" s="165"/>
      <c r="K899" s="165"/>
      <c r="O899" s="165"/>
      <c r="P899" s="165"/>
      <c r="Q899" s="165"/>
      <c r="R899" s="165"/>
      <c r="T899" s="165"/>
      <c r="Y899" s="165"/>
      <c r="Z899" s="165"/>
      <c r="AA899" s="165"/>
      <c r="AE899" s="165"/>
    </row>
    <row r="900" spans="7:31" ht="20.100000000000001" customHeight="1" x14ac:dyDescent="0.2">
      <c r="G900" s="165"/>
      <c r="H900" s="165"/>
      <c r="J900" s="165"/>
      <c r="K900" s="165"/>
      <c r="O900" s="165"/>
      <c r="P900" s="165"/>
      <c r="Q900" s="165"/>
      <c r="R900" s="165"/>
      <c r="T900" s="165"/>
      <c r="Y900" s="165"/>
      <c r="Z900" s="165"/>
      <c r="AA900" s="165"/>
      <c r="AE900" s="165"/>
    </row>
    <row r="901" spans="7:31" ht="20.100000000000001" customHeight="1" x14ac:dyDescent="0.2">
      <c r="G901" s="165"/>
      <c r="H901" s="165"/>
      <c r="J901" s="165"/>
      <c r="K901" s="165"/>
      <c r="O901" s="165"/>
      <c r="P901" s="165"/>
      <c r="Q901" s="165"/>
      <c r="R901" s="165"/>
      <c r="T901" s="165"/>
      <c r="Y901" s="165"/>
      <c r="Z901" s="165"/>
      <c r="AA901" s="165"/>
      <c r="AE901" s="165"/>
    </row>
    <row r="902" spans="7:31" ht="20.100000000000001" customHeight="1" x14ac:dyDescent="0.2">
      <c r="G902" s="165"/>
      <c r="H902" s="165"/>
      <c r="J902" s="165"/>
      <c r="K902" s="165"/>
      <c r="O902" s="165"/>
      <c r="P902" s="165"/>
      <c r="Q902" s="165"/>
      <c r="R902" s="165"/>
      <c r="T902" s="165"/>
      <c r="Y902" s="165"/>
      <c r="Z902" s="165"/>
      <c r="AA902" s="165"/>
      <c r="AE902" s="165"/>
    </row>
    <row r="903" spans="7:31" ht="20.100000000000001" customHeight="1" x14ac:dyDescent="0.2">
      <c r="G903" s="165"/>
      <c r="H903" s="165"/>
      <c r="J903" s="165"/>
      <c r="K903" s="165"/>
      <c r="O903" s="165"/>
      <c r="P903" s="165"/>
      <c r="Q903" s="165"/>
      <c r="R903" s="165"/>
      <c r="T903" s="165"/>
      <c r="Y903" s="165"/>
      <c r="Z903" s="165"/>
      <c r="AA903" s="165"/>
      <c r="AE903" s="165"/>
    </row>
    <row r="904" spans="7:31" ht="20.100000000000001" customHeight="1" x14ac:dyDescent="0.2">
      <c r="G904" s="165"/>
      <c r="H904" s="165"/>
      <c r="J904" s="165"/>
      <c r="K904" s="165"/>
      <c r="O904" s="165"/>
      <c r="P904" s="165"/>
      <c r="Q904" s="165"/>
      <c r="R904" s="165"/>
      <c r="T904" s="165"/>
      <c r="Y904" s="165"/>
      <c r="Z904" s="165"/>
      <c r="AA904" s="165"/>
      <c r="AE904" s="165"/>
    </row>
    <row r="905" spans="7:31" ht="20.100000000000001" customHeight="1" x14ac:dyDescent="0.2">
      <c r="G905" s="165"/>
      <c r="H905" s="165"/>
      <c r="J905" s="165"/>
      <c r="K905" s="165"/>
      <c r="O905" s="165"/>
      <c r="P905" s="165"/>
      <c r="Q905" s="165"/>
      <c r="R905" s="165"/>
      <c r="T905" s="165"/>
      <c r="Y905" s="165"/>
      <c r="Z905" s="165"/>
      <c r="AA905" s="165"/>
      <c r="AE905" s="165"/>
    </row>
    <row r="906" spans="7:31" ht="20.100000000000001" customHeight="1" x14ac:dyDescent="0.2">
      <c r="G906" s="165"/>
      <c r="H906" s="165"/>
      <c r="J906" s="165"/>
      <c r="K906" s="165"/>
      <c r="O906" s="165"/>
      <c r="P906" s="165"/>
      <c r="Q906" s="165"/>
      <c r="R906" s="165"/>
      <c r="T906" s="165"/>
      <c r="Y906" s="165"/>
      <c r="Z906" s="165"/>
      <c r="AA906" s="165"/>
      <c r="AE906" s="165"/>
    </row>
    <row r="907" spans="7:31" ht="20.100000000000001" customHeight="1" x14ac:dyDescent="0.2">
      <c r="G907" s="165"/>
      <c r="H907" s="165"/>
      <c r="J907" s="165"/>
      <c r="K907" s="165"/>
      <c r="O907" s="165"/>
      <c r="P907" s="165"/>
      <c r="Q907" s="165"/>
      <c r="R907" s="165"/>
      <c r="T907" s="165"/>
      <c r="Y907" s="165"/>
      <c r="Z907" s="165"/>
      <c r="AA907" s="165"/>
      <c r="AE907" s="165"/>
    </row>
    <row r="908" spans="7:31" ht="20.100000000000001" customHeight="1" x14ac:dyDescent="0.2">
      <c r="G908" s="165"/>
      <c r="H908" s="165"/>
      <c r="J908" s="165"/>
      <c r="K908" s="165"/>
      <c r="O908" s="165"/>
      <c r="P908" s="165"/>
      <c r="Q908" s="165"/>
      <c r="R908" s="165"/>
      <c r="T908" s="165"/>
      <c r="Y908" s="165"/>
      <c r="Z908" s="165"/>
      <c r="AA908" s="165"/>
      <c r="AE908" s="165"/>
    </row>
    <row r="909" spans="7:31" ht="20.100000000000001" customHeight="1" x14ac:dyDescent="0.2">
      <c r="G909" s="165"/>
      <c r="H909" s="165"/>
      <c r="J909" s="165"/>
      <c r="K909" s="165"/>
      <c r="O909" s="165"/>
      <c r="P909" s="165"/>
      <c r="Q909" s="165"/>
      <c r="R909" s="165"/>
      <c r="T909" s="165"/>
      <c r="Y909" s="165"/>
      <c r="Z909" s="165"/>
      <c r="AA909" s="165"/>
      <c r="AE909" s="165"/>
    </row>
    <row r="910" spans="7:31" ht="20.100000000000001" customHeight="1" x14ac:dyDescent="0.2">
      <c r="G910" s="165"/>
      <c r="H910" s="165"/>
      <c r="J910" s="165"/>
      <c r="K910" s="165"/>
      <c r="O910" s="165"/>
      <c r="P910" s="165"/>
      <c r="Q910" s="165"/>
      <c r="R910" s="165"/>
      <c r="T910" s="165"/>
      <c r="Y910" s="165"/>
      <c r="Z910" s="165"/>
      <c r="AA910" s="165"/>
      <c r="AE910" s="165"/>
    </row>
    <row r="911" spans="7:31" ht="20.100000000000001" customHeight="1" x14ac:dyDescent="0.2">
      <c r="G911" s="165"/>
      <c r="H911" s="165"/>
      <c r="J911" s="165"/>
      <c r="K911" s="165"/>
      <c r="O911" s="165"/>
      <c r="P911" s="165"/>
      <c r="Q911" s="165"/>
      <c r="R911" s="165"/>
      <c r="T911" s="165"/>
      <c r="Y911" s="165"/>
      <c r="Z911" s="165"/>
      <c r="AA911" s="165"/>
      <c r="AE911" s="165"/>
    </row>
    <row r="912" spans="7:31" ht="20.100000000000001" customHeight="1" x14ac:dyDescent="0.2">
      <c r="G912" s="165"/>
      <c r="H912" s="165"/>
      <c r="J912" s="165"/>
      <c r="K912" s="165"/>
      <c r="O912" s="165"/>
      <c r="P912" s="165"/>
      <c r="Q912" s="165"/>
      <c r="R912" s="165"/>
      <c r="T912" s="165"/>
      <c r="Y912" s="165"/>
      <c r="Z912" s="165"/>
      <c r="AA912" s="165"/>
      <c r="AE912" s="165"/>
    </row>
    <row r="913" spans="7:31" ht="20.100000000000001" customHeight="1" x14ac:dyDescent="0.2">
      <c r="G913" s="165"/>
      <c r="H913" s="165"/>
      <c r="J913" s="165"/>
      <c r="K913" s="165"/>
      <c r="O913" s="165"/>
      <c r="P913" s="165"/>
      <c r="Q913" s="165"/>
      <c r="R913" s="165"/>
      <c r="T913" s="165"/>
      <c r="Y913" s="165"/>
      <c r="Z913" s="165"/>
      <c r="AA913" s="165"/>
      <c r="AE913" s="165"/>
    </row>
    <row r="914" spans="7:31" ht="20.100000000000001" customHeight="1" x14ac:dyDescent="0.2">
      <c r="G914" s="165"/>
      <c r="H914" s="165"/>
      <c r="J914" s="165"/>
      <c r="K914" s="165"/>
      <c r="O914" s="165"/>
      <c r="P914" s="165"/>
      <c r="Q914" s="165"/>
      <c r="R914" s="165"/>
      <c r="T914" s="165"/>
      <c r="Y914" s="165"/>
      <c r="Z914" s="165"/>
      <c r="AA914" s="165"/>
      <c r="AE914" s="165"/>
    </row>
    <row r="915" spans="7:31" ht="20.100000000000001" customHeight="1" x14ac:dyDescent="0.2">
      <c r="G915" s="165"/>
      <c r="H915" s="165"/>
      <c r="J915" s="165"/>
      <c r="K915" s="165"/>
      <c r="O915" s="165"/>
      <c r="P915" s="165"/>
      <c r="Q915" s="165"/>
      <c r="R915" s="165"/>
      <c r="T915" s="165"/>
      <c r="Y915" s="165"/>
      <c r="Z915" s="165"/>
      <c r="AA915" s="165"/>
      <c r="AE915" s="165"/>
    </row>
    <row r="916" spans="7:31" ht="20.100000000000001" customHeight="1" x14ac:dyDescent="0.2">
      <c r="G916" s="165"/>
      <c r="H916" s="165"/>
      <c r="J916" s="165"/>
      <c r="K916" s="165"/>
      <c r="O916" s="165"/>
      <c r="P916" s="165"/>
      <c r="Q916" s="165"/>
      <c r="R916" s="165"/>
      <c r="T916" s="165"/>
      <c r="Y916" s="165"/>
      <c r="Z916" s="165"/>
      <c r="AA916" s="165"/>
      <c r="AE916" s="165"/>
    </row>
    <row r="917" spans="7:31" ht="20.100000000000001" customHeight="1" x14ac:dyDescent="0.2">
      <c r="G917" s="165"/>
      <c r="H917" s="165"/>
      <c r="J917" s="165"/>
      <c r="K917" s="165"/>
      <c r="O917" s="165"/>
      <c r="P917" s="165"/>
      <c r="Q917" s="165"/>
      <c r="R917" s="165"/>
      <c r="T917" s="165"/>
      <c r="Y917" s="165"/>
      <c r="Z917" s="165"/>
      <c r="AA917" s="165"/>
      <c r="AE917" s="165"/>
    </row>
    <row r="918" spans="7:31" ht="20.100000000000001" customHeight="1" x14ac:dyDescent="0.2">
      <c r="G918" s="165"/>
      <c r="H918" s="165"/>
      <c r="J918" s="165"/>
      <c r="K918" s="165"/>
      <c r="O918" s="165"/>
      <c r="P918" s="165"/>
      <c r="Q918" s="165"/>
      <c r="R918" s="165"/>
      <c r="T918" s="165"/>
      <c r="Y918" s="165"/>
      <c r="Z918" s="165"/>
      <c r="AA918" s="165"/>
      <c r="AE918" s="165"/>
    </row>
    <row r="919" spans="7:31" ht="20.100000000000001" customHeight="1" x14ac:dyDescent="0.2">
      <c r="G919" s="165"/>
      <c r="H919" s="165"/>
      <c r="J919" s="165"/>
      <c r="K919" s="165"/>
      <c r="O919" s="165"/>
      <c r="P919" s="165"/>
      <c r="Q919" s="165"/>
      <c r="R919" s="165"/>
      <c r="T919" s="165"/>
      <c r="Y919" s="165"/>
      <c r="Z919" s="165"/>
      <c r="AA919" s="165"/>
      <c r="AE919" s="165"/>
    </row>
    <row r="920" spans="7:31" ht="20.100000000000001" customHeight="1" x14ac:dyDescent="0.2">
      <c r="G920" s="165"/>
      <c r="H920" s="165"/>
      <c r="J920" s="165"/>
      <c r="K920" s="165"/>
      <c r="O920" s="165"/>
      <c r="P920" s="165"/>
      <c r="Q920" s="165"/>
      <c r="R920" s="165"/>
      <c r="T920" s="165"/>
      <c r="Y920" s="165"/>
      <c r="Z920" s="165"/>
      <c r="AA920" s="165"/>
      <c r="AE920" s="165"/>
    </row>
    <row r="921" spans="7:31" ht="20.100000000000001" customHeight="1" x14ac:dyDescent="0.2">
      <c r="G921" s="165"/>
      <c r="H921" s="165"/>
      <c r="J921" s="165"/>
      <c r="K921" s="165"/>
      <c r="O921" s="165"/>
      <c r="P921" s="165"/>
      <c r="Q921" s="165"/>
      <c r="R921" s="165"/>
      <c r="T921" s="165"/>
      <c r="Y921" s="165"/>
      <c r="Z921" s="165"/>
      <c r="AA921" s="165"/>
      <c r="AE921" s="165"/>
    </row>
    <row r="922" spans="7:31" ht="20.100000000000001" customHeight="1" x14ac:dyDescent="0.2">
      <c r="G922" s="165"/>
      <c r="H922" s="165"/>
      <c r="J922" s="165"/>
      <c r="K922" s="165"/>
      <c r="O922" s="165"/>
      <c r="P922" s="165"/>
      <c r="Q922" s="165"/>
      <c r="R922" s="165"/>
      <c r="T922" s="165"/>
      <c r="Y922" s="165"/>
      <c r="Z922" s="165"/>
      <c r="AA922" s="165"/>
      <c r="AE922" s="165"/>
    </row>
    <row r="923" spans="7:31" ht="20.100000000000001" customHeight="1" x14ac:dyDescent="0.2">
      <c r="G923" s="165"/>
      <c r="H923" s="165"/>
      <c r="J923" s="165"/>
      <c r="K923" s="165"/>
      <c r="O923" s="165"/>
      <c r="P923" s="165"/>
      <c r="Q923" s="165"/>
      <c r="R923" s="165"/>
      <c r="T923" s="165"/>
      <c r="Y923" s="165"/>
      <c r="Z923" s="165"/>
      <c r="AA923" s="165"/>
      <c r="AE923" s="165"/>
    </row>
    <row r="924" spans="7:31" ht="20.100000000000001" customHeight="1" x14ac:dyDescent="0.2">
      <c r="G924" s="165"/>
      <c r="H924" s="165"/>
      <c r="J924" s="165"/>
      <c r="K924" s="165"/>
      <c r="O924" s="165"/>
      <c r="P924" s="165"/>
      <c r="Q924" s="165"/>
      <c r="R924" s="165"/>
      <c r="T924" s="165"/>
      <c r="Y924" s="165"/>
      <c r="Z924" s="165"/>
      <c r="AA924" s="165"/>
      <c r="AE924" s="165"/>
    </row>
    <row r="925" spans="7:31" ht="20.100000000000001" customHeight="1" x14ac:dyDescent="0.2">
      <c r="G925" s="165"/>
      <c r="H925" s="165"/>
      <c r="J925" s="165"/>
      <c r="K925" s="165"/>
      <c r="O925" s="165"/>
      <c r="P925" s="165"/>
      <c r="Q925" s="165"/>
      <c r="R925" s="165"/>
      <c r="T925" s="165"/>
      <c r="Y925" s="165"/>
      <c r="Z925" s="165"/>
      <c r="AA925" s="165"/>
      <c r="AE925" s="165"/>
    </row>
    <row r="926" spans="7:31" ht="20.100000000000001" customHeight="1" x14ac:dyDescent="0.2">
      <c r="G926" s="165"/>
      <c r="H926" s="165"/>
      <c r="J926" s="165"/>
      <c r="K926" s="165"/>
      <c r="O926" s="165"/>
      <c r="P926" s="165"/>
      <c r="Q926" s="165"/>
      <c r="R926" s="165"/>
      <c r="T926" s="165"/>
      <c r="Y926" s="165"/>
      <c r="Z926" s="165"/>
      <c r="AA926" s="165"/>
      <c r="AE926" s="165"/>
    </row>
    <row r="927" spans="7:31" ht="20.100000000000001" customHeight="1" x14ac:dyDescent="0.2">
      <c r="G927" s="165"/>
      <c r="H927" s="165"/>
      <c r="J927" s="165"/>
      <c r="K927" s="165"/>
      <c r="O927" s="165"/>
      <c r="P927" s="165"/>
      <c r="Q927" s="165"/>
      <c r="R927" s="165"/>
      <c r="T927" s="165"/>
      <c r="Y927" s="165"/>
      <c r="Z927" s="165"/>
      <c r="AA927" s="165"/>
      <c r="AE927" s="165"/>
    </row>
    <row r="928" spans="7:31" ht="20.100000000000001" customHeight="1" x14ac:dyDescent="0.2">
      <c r="G928" s="165"/>
      <c r="H928" s="165"/>
      <c r="J928" s="165"/>
      <c r="K928" s="165"/>
      <c r="O928" s="165"/>
      <c r="P928" s="165"/>
      <c r="Q928" s="165"/>
      <c r="R928" s="165"/>
      <c r="T928" s="165"/>
      <c r="Y928" s="165"/>
      <c r="Z928" s="165"/>
      <c r="AA928" s="165"/>
      <c r="AE928" s="165"/>
    </row>
    <row r="929" spans="7:31" ht="20.100000000000001" customHeight="1" x14ac:dyDescent="0.2">
      <c r="G929" s="165"/>
      <c r="H929" s="165"/>
      <c r="J929" s="165"/>
      <c r="K929" s="165"/>
      <c r="O929" s="165"/>
      <c r="P929" s="165"/>
      <c r="Q929" s="165"/>
      <c r="R929" s="165"/>
      <c r="T929" s="165"/>
      <c r="Y929" s="165"/>
      <c r="Z929" s="165"/>
      <c r="AA929" s="165"/>
      <c r="AE929" s="165"/>
    </row>
    <row r="930" spans="7:31" ht="20.100000000000001" customHeight="1" x14ac:dyDescent="0.2">
      <c r="G930" s="165"/>
      <c r="H930" s="165"/>
      <c r="J930" s="165"/>
      <c r="K930" s="165"/>
      <c r="O930" s="165"/>
      <c r="P930" s="165"/>
      <c r="Q930" s="165"/>
      <c r="R930" s="165"/>
      <c r="T930" s="165"/>
      <c r="Y930" s="165"/>
      <c r="Z930" s="165"/>
      <c r="AA930" s="165"/>
      <c r="AE930" s="165"/>
    </row>
    <row r="931" spans="7:31" ht="20.100000000000001" customHeight="1" x14ac:dyDescent="0.2">
      <c r="G931" s="165"/>
      <c r="H931" s="165"/>
      <c r="J931" s="165"/>
      <c r="K931" s="165"/>
      <c r="O931" s="165"/>
      <c r="P931" s="165"/>
      <c r="Q931" s="165"/>
      <c r="R931" s="165"/>
      <c r="T931" s="165"/>
      <c r="Y931" s="165"/>
      <c r="Z931" s="165"/>
      <c r="AA931" s="165"/>
      <c r="AE931" s="165"/>
    </row>
    <row r="932" spans="7:31" ht="20.100000000000001" customHeight="1" x14ac:dyDescent="0.2">
      <c r="G932" s="165"/>
      <c r="H932" s="165"/>
      <c r="J932" s="165"/>
      <c r="K932" s="165"/>
      <c r="O932" s="165"/>
      <c r="P932" s="165"/>
      <c r="Q932" s="165"/>
      <c r="R932" s="165"/>
      <c r="T932" s="165"/>
      <c r="Y932" s="165"/>
      <c r="Z932" s="165"/>
      <c r="AA932" s="165"/>
      <c r="AE932" s="165"/>
    </row>
    <row r="933" spans="7:31" ht="20.100000000000001" customHeight="1" x14ac:dyDescent="0.2">
      <c r="G933" s="165"/>
      <c r="H933" s="165"/>
      <c r="J933" s="165"/>
      <c r="K933" s="165"/>
      <c r="O933" s="165"/>
      <c r="P933" s="165"/>
      <c r="Q933" s="165"/>
      <c r="R933" s="165"/>
      <c r="T933" s="165"/>
      <c r="Y933" s="165"/>
      <c r="Z933" s="165"/>
      <c r="AA933" s="165"/>
      <c r="AE933" s="165"/>
    </row>
    <row r="934" spans="7:31" ht="20.100000000000001" customHeight="1" x14ac:dyDescent="0.2">
      <c r="G934" s="165"/>
      <c r="H934" s="165"/>
      <c r="J934" s="165"/>
      <c r="K934" s="165"/>
      <c r="O934" s="165"/>
      <c r="P934" s="165"/>
      <c r="Q934" s="165"/>
      <c r="R934" s="165"/>
      <c r="T934" s="165"/>
      <c r="Y934" s="165"/>
      <c r="Z934" s="165"/>
      <c r="AA934" s="165"/>
      <c r="AE934" s="165"/>
    </row>
    <row r="935" spans="7:31" ht="20.100000000000001" customHeight="1" x14ac:dyDescent="0.2">
      <c r="G935" s="165"/>
      <c r="H935" s="165"/>
      <c r="J935" s="165"/>
      <c r="K935" s="165"/>
      <c r="O935" s="165"/>
      <c r="P935" s="165"/>
      <c r="Q935" s="165"/>
      <c r="R935" s="165"/>
      <c r="T935" s="165"/>
      <c r="Y935" s="165"/>
      <c r="Z935" s="165"/>
      <c r="AA935" s="165"/>
      <c r="AE935" s="165"/>
    </row>
    <row r="936" spans="7:31" ht="20.100000000000001" customHeight="1" x14ac:dyDescent="0.2">
      <c r="G936" s="165"/>
      <c r="H936" s="165"/>
      <c r="J936" s="165"/>
      <c r="K936" s="165"/>
      <c r="O936" s="165"/>
      <c r="P936" s="165"/>
      <c r="Q936" s="165"/>
      <c r="R936" s="165"/>
      <c r="T936" s="165"/>
      <c r="Y936" s="165"/>
      <c r="Z936" s="165"/>
      <c r="AA936" s="165"/>
      <c r="AE936" s="165"/>
    </row>
    <row r="937" spans="7:31" ht="20.100000000000001" customHeight="1" x14ac:dyDescent="0.2">
      <c r="G937" s="165"/>
      <c r="H937" s="165"/>
      <c r="J937" s="165"/>
      <c r="K937" s="165"/>
      <c r="O937" s="165"/>
      <c r="P937" s="165"/>
      <c r="Q937" s="165"/>
      <c r="R937" s="165"/>
      <c r="T937" s="165"/>
      <c r="Y937" s="165"/>
      <c r="Z937" s="165"/>
      <c r="AA937" s="165"/>
      <c r="AE937" s="165"/>
    </row>
    <row r="938" spans="7:31" ht="20.100000000000001" customHeight="1" x14ac:dyDescent="0.2">
      <c r="G938" s="165"/>
      <c r="H938" s="165"/>
      <c r="J938" s="165"/>
      <c r="K938" s="165"/>
      <c r="O938" s="165"/>
      <c r="P938" s="165"/>
      <c r="Q938" s="165"/>
      <c r="R938" s="165"/>
      <c r="T938" s="165"/>
      <c r="Y938" s="165"/>
      <c r="Z938" s="165"/>
      <c r="AA938" s="165"/>
      <c r="AE938" s="165"/>
    </row>
    <row r="939" spans="7:31" ht="20.100000000000001" customHeight="1" x14ac:dyDescent="0.2">
      <c r="G939" s="165"/>
      <c r="H939" s="165"/>
      <c r="J939" s="165"/>
      <c r="K939" s="165"/>
      <c r="O939" s="165"/>
      <c r="P939" s="165"/>
      <c r="Q939" s="165"/>
      <c r="R939" s="165"/>
      <c r="T939" s="165"/>
      <c r="Y939" s="165"/>
      <c r="Z939" s="165"/>
      <c r="AA939" s="165"/>
      <c r="AE939" s="165"/>
    </row>
    <row r="940" spans="7:31" ht="20.100000000000001" customHeight="1" x14ac:dyDescent="0.2">
      <c r="G940" s="165"/>
      <c r="H940" s="165"/>
      <c r="J940" s="165"/>
      <c r="K940" s="165"/>
      <c r="O940" s="165"/>
      <c r="P940" s="165"/>
      <c r="Q940" s="165"/>
      <c r="R940" s="165"/>
      <c r="T940" s="165"/>
      <c r="Y940" s="165"/>
      <c r="Z940" s="165"/>
      <c r="AA940" s="165"/>
      <c r="AE940" s="165"/>
    </row>
    <row r="941" spans="7:31" ht="20.100000000000001" customHeight="1" x14ac:dyDescent="0.2">
      <c r="G941" s="165"/>
      <c r="H941" s="165"/>
      <c r="J941" s="165"/>
      <c r="K941" s="165"/>
      <c r="O941" s="165"/>
      <c r="P941" s="165"/>
      <c r="Q941" s="165"/>
      <c r="R941" s="165"/>
      <c r="T941" s="165"/>
      <c r="Y941" s="165"/>
      <c r="Z941" s="165"/>
      <c r="AA941" s="165"/>
      <c r="AE941" s="165"/>
    </row>
    <row r="942" spans="7:31" ht="20.100000000000001" customHeight="1" x14ac:dyDescent="0.2">
      <c r="G942" s="165"/>
      <c r="H942" s="165"/>
      <c r="J942" s="165"/>
      <c r="K942" s="165"/>
      <c r="O942" s="165"/>
      <c r="P942" s="165"/>
      <c r="Q942" s="165"/>
      <c r="R942" s="165"/>
      <c r="T942" s="165"/>
      <c r="Y942" s="165"/>
      <c r="Z942" s="165"/>
      <c r="AA942" s="165"/>
      <c r="AE942" s="165"/>
    </row>
    <row r="943" spans="7:31" ht="20.100000000000001" customHeight="1" x14ac:dyDescent="0.2">
      <c r="G943" s="165"/>
      <c r="H943" s="165"/>
      <c r="J943" s="165"/>
      <c r="K943" s="165"/>
      <c r="O943" s="165"/>
      <c r="P943" s="165"/>
      <c r="Q943" s="165"/>
      <c r="R943" s="165"/>
      <c r="T943" s="165"/>
      <c r="Y943" s="165"/>
      <c r="Z943" s="165"/>
      <c r="AA943" s="165"/>
      <c r="AE943" s="165"/>
    </row>
    <row r="944" spans="7:31" ht="20.100000000000001" customHeight="1" x14ac:dyDescent="0.2">
      <c r="G944" s="165"/>
      <c r="H944" s="165"/>
      <c r="J944" s="165"/>
      <c r="K944" s="165"/>
      <c r="O944" s="165"/>
      <c r="P944" s="165"/>
      <c r="Q944" s="165"/>
      <c r="R944" s="165"/>
      <c r="T944" s="165"/>
      <c r="Y944" s="165"/>
      <c r="Z944" s="165"/>
      <c r="AA944" s="165"/>
      <c r="AE944" s="165"/>
    </row>
    <row r="945" spans="7:31" ht="20.100000000000001" customHeight="1" x14ac:dyDescent="0.2">
      <c r="G945" s="165"/>
      <c r="H945" s="165"/>
      <c r="J945" s="165"/>
      <c r="K945" s="165"/>
      <c r="O945" s="165"/>
      <c r="P945" s="165"/>
      <c r="Q945" s="165"/>
      <c r="R945" s="165"/>
      <c r="T945" s="165"/>
      <c r="Y945" s="165"/>
      <c r="Z945" s="165"/>
      <c r="AA945" s="165"/>
      <c r="AE945" s="165"/>
    </row>
    <row r="946" spans="7:31" ht="20.100000000000001" customHeight="1" x14ac:dyDescent="0.2">
      <c r="G946" s="165"/>
      <c r="H946" s="165"/>
      <c r="J946" s="165"/>
      <c r="K946" s="165"/>
      <c r="O946" s="165"/>
      <c r="P946" s="165"/>
      <c r="Q946" s="165"/>
      <c r="R946" s="165"/>
      <c r="T946" s="165"/>
      <c r="Y946" s="165"/>
      <c r="Z946" s="165"/>
      <c r="AA946" s="165"/>
      <c r="AE946" s="165"/>
    </row>
    <row r="947" spans="7:31" ht="20.100000000000001" customHeight="1" x14ac:dyDescent="0.2">
      <c r="G947" s="165"/>
      <c r="H947" s="165"/>
      <c r="J947" s="165"/>
      <c r="K947" s="165"/>
      <c r="O947" s="165"/>
      <c r="P947" s="165"/>
      <c r="Q947" s="165"/>
      <c r="R947" s="165"/>
      <c r="T947" s="165"/>
      <c r="Y947" s="165"/>
      <c r="Z947" s="165"/>
      <c r="AA947" s="165"/>
      <c r="AE947" s="165"/>
    </row>
    <row r="948" spans="7:31" ht="20.100000000000001" customHeight="1" x14ac:dyDescent="0.2">
      <c r="G948" s="165"/>
      <c r="H948" s="165"/>
      <c r="J948" s="165"/>
      <c r="K948" s="165"/>
      <c r="O948" s="165"/>
      <c r="P948" s="165"/>
      <c r="Q948" s="165"/>
      <c r="R948" s="165"/>
      <c r="T948" s="165"/>
      <c r="Y948" s="165"/>
      <c r="Z948" s="165"/>
      <c r="AA948" s="165"/>
      <c r="AE948" s="165"/>
    </row>
    <row r="949" spans="7:31" ht="20.100000000000001" customHeight="1" x14ac:dyDescent="0.2">
      <c r="G949" s="165"/>
      <c r="H949" s="165"/>
      <c r="J949" s="165"/>
      <c r="K949" s="165"/>
      <c r="O949" s="165"/>
      <c r="P949" s="165"/>
      <c r="Q949" s="165"/>
      <c r="R949" s="165"/>
      <c r="T949" s="165"/>
      <c r="Y949" s="165"/>
      <c r="Z949" s="165"/>
      <c r="AA949" s="165"/>
      <c r="AE949" s="165"/>
    </row>
    <row r="950" spans="7:31" ht="20.100000000000001" customHeight="1" x14ac:dyDescent="0.2">
      <c r="G950" s="165"/>
      <c r="H950" s="165"/>
      <c r="J950" s="165"/>
      <c r="K950" s="165"/>
      <c r="O950" s="165"/>
      <c r="P950" s="165"/>
      <c r="Q950" s="165"/>
      <c r="R950" s="165"/>
      <c r="T950" s="165"/>
      <c r="Y950" s="165"/>
      <c r="Z950" s="165"/>
      <c r="AA950" s="165"/>
      <c r="AE950" s="165"/>
    </row>
    <row r="951" spans="7:31" ht="20.100000000000001" customHeight="1" x14ac:dyDescent="0.2">
      <c r="G951" s="165"/>
      <c r="H951" s="165"/>
      <c r="J951" s="165"/>
      <c r="K951" s="165"/>
      <c r="O951" s="165"/>
      <c r="P951" s="165"/>
      <c r="Q951" s="165"/>
      <c r="R951" s="165"/>
      <c r="T951" s="165"/>
      <c r="Y951" s="165"/>
      <c r="Z951" s="165"/>
      <c r="AA951" s="165"/>
      <c r="AE951" s="165"/>
    </row>
    <row r="952" spans="7:31" ht="20.100000000000001" customHeight="1" x14ac:dyDescent="0.2">
      <c r="G952" s="165"/>
      <c r="H952" s="165"/>
      <c r="J952" s="165"/>
      <c r="K952" s="165"/>
      <c r="O952" s="165"/>
      <c r="P952" s="165"/>
      <c r="Q952" s="165"/>
      <c r="R952" s="165"/>
      <c r="T952" s="165"/>
      <c r="Y952" s="165"/>
      <c r="Z952" s="165"/>
      <c r="AA952" s="165"/>
      <c r="AE952" s="165"/>
    </row>
    <row r="953" spans="7:31" ht="20.100000000000001" customHeight="1" x14ac:dyDescent="0.2">
      <c r="G953" s="165"/>
      <c r="H953" s="165"/>
      <c r="J953" s="165"/>
      <c r="K953" s="165"/>
      <c r="O953" s="165"/>
      <c r="P953" s="165"/>
      <c r="Q953" s="165"/>
      <c r="R953" s="165"/>
      <c r="T953" s="165"/>
      <c r="Y953" s="165"/>
      <c r="Z953" s="165"/>
      <c r="AA953" s="165"/>
      <c r="AE953" s="165"/>
    </row>
    <row r="954" spans="7:31" ht="20.100000000000001" customHeight="1" x14ac:dyDescent="0.2">
      <c r="G954" s="165"/>
      <c r="H954" s="165"/>
      <c r="J954" s="165"/>
      <c r="K954" s="165"/>
      <c r="O954" s="165"/>
      <c r="P954" s="165"/>
      <c r="Q954" s="165"/>
      <c r="R954" s="165"/>
      <c r="T954" s="165"/>
      <c r="Y954" s="165"/>
      <c r="Z954" s="165"/>
      <c r="AA954" s="165"/>
      <c r="AE954" s="165"/>
    </row>
    <row r="955" spans="7:31" ht="20.100000000000001" customHeight="1" x14ac:dyDescent="0.2">
      <c r="G955" s="165"/>
      <c r="H955" s="165"/>
      <c r="J955" s="165"/>
      <c r="K955" s="165"/>
      <c r="O955" s="165"/>
      <c r="P955" s="165"/>
      <c r="Q955" s="165"/>
      <c r="R955" s="165"/>
      <c r="T955" s="165"/>
      <c r="Y955" s="165"/>
      <c r="Z955" s="165"/>
      <c r="AA955" s="165"/>
      <c r="AE955" s="165"/>
    </row>
    <row r="956" spans="7:31" ht="20.100000000000001" customHeight="1" x14ac:dyDescent="0.2">
      <c r="G956" s="165"/>
      <c r="H956" s="165"/>
      <c r="J956" s="165"/>
      <c r="K956" s="165"/>
      <c r="O956" s="165"/>
      <c r="P956" s="165"/>
      <c r="Q956" s="165"/>
      <c r="R956" s="165"/>
      <c r="T956" s="165"/>
      <c r="Y956" s="165"/>
      <c r="Z956" s="165"/>
      <c r="AA956" s="165"/>
      <c r="AE956" s="165"/>
    </row>
    <row r="957" spans="7:31" ht="20.100000000000001" customHeight="1" x14ac:dyDescent="0.2">
      <c r="G957" s="165"/>
      <c r="H957" s="165"/>
      <c r="J957" s="165"/>
      <c r="K957" s="165"/>
      <c r="O957" s="165"/>
      <c r="P957" s="165"/>
      <c r="Q957" s="165"/>
      <c r="R957" s="165"/>
      <c r="T957" s="165"/>
      <c r="Y957" s="165"/>
      <c r="Z957" s="165"/>
      <c r="AA957" s="165"/>
      <c r="AE957" s="165"/>
    </row>
    <row r="958" spans="7:31" ht="20.100000000000001" customHeight="1" x14ac:dyDescent="0.2">
      <c r="G958" s="165"/>
      <c r="H958" s="165"/>
      <c r="J958" s="165"/>
      <c r="K958" s="165"/>
      <c r="O958" s="165"/>
      <c r="P958" s="165"/>
      <c r="Q958" s="165"/>
      <c r="R958" s="165"/>
      <c r="T958" s="165"/>
      <c r="Y958" s="165"/>
      <c r="Z958" s="165"/>
      <c r="AA958" s="165"/>
      <c r="AE958" s="165"/>
    </row>
    <row r="959" spans="7:31" ht="20.100000000000001" customHeight="1" x14ac:dyDescent="0.2">
      <c r="G959" s="165"/>
      <c r="H959" s="165"/>
      <c r="J959" s="165"/>
      <c r="K959" s="165"/>
      <c r="O959" s="165"/>
      <c r="P959" s="165"/>
      <c r="Q959" s="165"/>
      <c r="R959" s="165"/>
      <c r="T959" s="165"/>
      <c r="Y959" s="165"/>
      <c r="Z959" s="165"/>
      <c r="AA959" s="165"/>
      <c r="AE959" s="165"/>
    </row>
    <row r="960" spans="7:31" ht="20.100000000000001" customHeight="1" x14ac:dyDescent="0.2">
      <c r="G960" s="165"/>
      <c r="H960" s="165"/>
      <c r="J960" s="165"/>
      <c r="K960" s="165"/>
      <c r="O960" s="165"/>
      <c r="P960" s="165"/>
      <c r="Q960" s="165"/>
      <c r="R960" s="165"/>
      <c r="T960" s="165"/>
      <c r="Y960" s="165"/>
      <c r="Z960" s="165"/>
      <c r="AA960" s="165"/>
      <c r="AE960" s="165"/>
    </row>
    <row r="961" spans="7:31" ht="20.100000000000001" customHeight="1" x14ac:dyDescent="0.2">
      <c r="G961" s="165"/>
      <c r="H961" s="165"/>
      <c r="J961" s="165"/>
      <c r="K961" s="165"/>
      <c r="O961" s="165"/>
      <c r="P961" s="165"/>
      <c r="Q961" s="165"/>
      <c r="R961" s="165"/>
      <c r="T961" s="165"/>
      <c r="Y961" s="165"/>
      <c r="Z961" s="165"/>
      <c r="AA961" s="165"/>
      <c r="AE961" s="165"/>
    </row>
    <row r="962" spans="7:31" ht="20.100000000000001" customHeight="1" x14ac:dyDescent="0.2">
      <c r="G962" s="165"/>
      <c r="H962" s="165"/>
      <c r="J962" s="165"/>
      <c r="K962" s="165"/>
      <c r="O962" s="165"/>
      <c r="P962" s="165"/>
      <c r="Q962" s="165"/>
      <c r="R962" s="165"/>
      <c r="T962" s="165"/>
      <c r="Y962" s="165"/>
      <c r="Z962" s="165"/>
      <c r="AA962" s="165"/>
      <c r="AE962" s="165"/>
    </row>
    <row r="963" spans="7:31" ht="20.100000000000001" customHeight="1" x14ac:dyDescent="0.2">
      <c r="G963" s="165"/>
      <c r="H963" s="165"/>
      <c r="J963" s="165"/>
      <c r="K963" s="165"/>
      <c r="O963" s="165"/>
      <c r="P963" s="165"/>
      <c r="Q963" s="165"/>
      <c r="R963" s="165"/>
      <c r="T963" s="165"/>
      <c r="Y963" s="165"/>
      <c r="Z963" s="165"/>
      <c r="AA963" s="165"/>
      <c r="AE963" s="165"/>
    </row>
    <row r="964" spans="7:31" ht="20.100000000000001" customHeight="1" x14ac:dyDescent="0.2">
      <c r="G964" s="165"/>
      <c r="H964" s="165"/>
      <c r="J964" s="165"/>
      <c r="K964" s="165"/>
      <c r="O964" s="165"/>
      <c r="P964" s="165"/>
      <c r="Q964" s="165"/>
      <c r="R964" s="165"/>
      <c r="T964" s="165"/>
      <c r="Y964" s="165"/>
      <c r="Z964" s="165"/>
      <c r="AA964" s="165"/>
      <c r="AE964" s="165"/>
    </row>
    <row r="965" spans="7:31" ht="20.100000000000001" customHeight="1" x14ac:dyDescent="0.2">
      <c r="G965" s="165"/>
      <c r="H965" s="165"/>
      <c r="J965" s="165"/>
      <c r="K965" s="165"/>
      <c r="O965" s="165"/>
      <c r="P965" s="165"/>
      <c r="Q965" s="165"/>
      <c r="R965" s="165"/>
      <c r="T965" s="165"/>
      <c r="Y965" s="165"/>
      <c r="Z965" s="165"/>
      <c r="AA965" s="165"/>
      <c r="AE965" s="165"/>
    </row>
    <row r="966" spans="7:31" ht="20.100000000000001" customHeight="1" x14ac:dyDescent="0.2">
      <c r="G966" s="165"/>
      <c r="H966" s="165"/>
      <c r="J966" s="165"/>
      <c r="K966" s="165"/>
      <c r="O966" s="165"/>
      <c r="P966" s="165"/>
      <c r="Q966" s="165"/>
      <c r="R966" s="165"/>
      <c r="T966" s="165"/>
      <c r="Y966" s="165"/>
      <c r="Z966" s="165"/>
      <c r="AA966" s="165"/>
      <c r="AE966" s="165"/>
    </row>
    <row r="967" spans="7:31" ht="20.100000000000001" customHeight="1" x14ac:dyDescent="0.2">
      <c r="G967" s="165"/>
      <c r="H967" s="165"/>
      <c r="J967" s="165"/>
      <c r="K967" s="165"/>
      <c r="O967" s="165"/>
      <c r="P967" s="165"/>
      <c r="Q967" s="165"/>
      <c r="R967" s="165"/>
      <c r="T967" s="165"/>
      <c r="Y967" s="165"/>
      <c r="Z967" s="165"/>
      <c r="AA967" s="165"/>
      <c r="AE967" s="165"/>
    </row>
    <row r="968" spans="7:31" ht="20.100000000000001" customHeight="1" x14ac:dyDescent="0.2">
      <c r="G968" s="165"/>
      <c r="H968" s="165"/>
      <c r="J968" s="165"/>
      <c r="K968" s="165"/>
      <c r="O968" s="165"/>
      <c r="P968" s="165"/>
      <c r="Q968" s="165"/>
      <c r="R968" s="165"/>
      <c r="T968" s="165"/>
      <c r="Y968" s="165"/>
      <c r="Z968" s="165"/>
      <c r="AA968" s="165"/>
      <c r="AE968" s="165"/>
    </row>
    <row r="969" spans="7:31" ht="20.100000000000001" customHeight="1" x14ac:dyDescent="0.2">
      <c r="G969" s="165"/>
      <c r="H969" s="165"/>
      <c r="J969" s="165"/>
      <c r="K969" s="165"/>
      <c r="O969" s="165"/>
      <c r="P969" s="165"/>
      <c r="Q969" s="165"/>
      <c r="R969" s="165"/>
      <c r="T969" s="165"/>
      <c r="Y969" s="165"/>
      <c r="Z969" s="165"/>
      <c r="AA969" s="165"/>
      <c r="AE969" s="165"/>
    </row>
    <row r="970" spans="7:31" ht="20.100000000000001" customHeight="1" x14ac:dyDescent="0.2">
      <c r="G970" s="165"/>
      <c r="H970" s="165"/>
      <c r="J970" s="165"/>
      <c r="K970" s="165"/>
      <c r="O970" s="165"/>
      <c r="P970" s="165"/>
      <c r="Q970" s="165"/>
      <c r="R970" s="165"/>
      <c r="T970" s="165"/>
      <c r="Y970" s="165"/>
      <c r="Z970" s="165"/>
      <c r="AA970" s="165"/>
      <c r="AE970" s="165"/>
    </row>
    <row r="971" spans="7:31" ht="20.100000000000001" customHeight="1" x14ac:dyDescent="0.2">
      <c r="G971" s="165"/>
      <c r="H971" s="165"/>
      <c r="J971" s="165"/>
      <c r="K971" s="165"/>
      <c r="O971" s="165"/>
      <c r="P971" s="165"/>
      <c r="Q971" s="165"/>
      <c r="R971" s="165"/>
      <c r="T971" s="165"/>
      <c r="Y971" s="165"/>
      <c r="Z971" s="165"/>
      <c r="AA971" s="165"/>
      <c r="AE971" s="165"/>
    </row>
    <row r="972" spans="7:31" ht="20.100000000000001" customHeight="1" x14ac:dyDescent="0.2">
      <c r="G972" s="165"/>
      <c r="H972" s="165"/>
      <c r="J972" s="165"/>
      <c r="K972" s="165"/>
      <c r="O972" s="165"/>
      <c r="P972" s="165"/>
      <c r="Q972" s="165"/>
      <c r="R972" s="165"/>
      <c r="T972" s="165"/>
      <c r="Y972" s="165"/>
      <c r="Z972" s="165"/>
      <c r="AA972" s="165"/>
      <c r="AE972" s="165"/>
    </row>
    <row r="973" spans="7:31" ht="20.100000000000001" customHeight="1" x14ac:dyDescent="0.2">
      <c r="G973" s="165"/>
      <c r="H973" s="165"/>
      <c r="J973" s="165"/>
      <c r="K973" s="165"/>
      <c r="O973" s="165"/>
      <c r="P973" s="165"/>
      <c r="Q973" s="165"/>
      <c r="R973" s="165"/>
      <c r="T973" s="165"/>
      <c r="Y973" s="165"/>
      <c r="Z973" s="165"/>
      <c r="AA973" s="165"/>
      <c r="AE973" s="165"/>
    </row>
    <row r="974" spans="7:31" ht="20.100000000000001" customHeight="1" x14ac:dyDescent="0.2">
      <c r="G974" s="165"/>
      <c r="H974" s="165"/>
      <c r="J974" s="165"/>
      <c r="K974" s="165"/>
      <c r="O974" s="165"/>
      <c r="P974" s="165"/>
      <c r="Q974" s="165"/>
      <c r="R974" s="165"/>
      <c r="T974" s="165"/>
      <c r="Y974" s="165"/>
      <c r="Z974" s="165"/>
      <c r="AA974" s="165"/>
      <c r="AE974" s="165"/>
    </row>
    <row r="975" spans="7:31" ht="20.100000000000001" customHeight="1" x14ac:dyDescent="0.2">
      <c r="G975" s="165"/>
      <c r="H975" s="165"/>
      <c r="J975" s="165"/>
      <c r="K975" s="165"/>
      <c r="O975" s="165"/>
      <c r="P975" s="165"/>
      <c r="Q975" s="165"/>
      <c r="R975" s="165"/>
      <c r="T975" s="165"/>
      <c r="Y975" s="165"/>
      <c r="Z975" s="165"/>
      <c r="AA975" s="165"/>
      <c r="AE975" s="165"/>
    </row>
    <row r="976" spans="7:31" ht="20.100000000000001" customHeight="1" x14ac:dyDescent="0.2">
      <c r="G976" s="165"/>
      <c r="H976" s="165"/>
      <c r="J976" s="165"/>
      <c r="K976" s="165"/>
      <c r="O976" s="165"/>
      <c r="P976" s="165"/>
      <c r="Q976" s="165"/>
      <c r="R976" s="165"/>
      <c r="T976" s="165"/>
      <c r="Y976" s="165"/>
      <c r="Z976" s="165"/>
      <c r="AA976" s="165"/>
      <c r="AE976" s="165"/>
    </row>
    <row r="977" spans="7:31" ht="20.100000000000001" customHeight="1" x14ac:dyDescent="0.2">
      <c r="G977" s="165"/>
      <c r="H977" s="165"/>
      <c r="J977" s="165"/>
      <c r="K977" s="165"/>
      <c r="O977" s="165"/>
      <c r="P977" s="165"/>
      <c r="Q977" s="165"/>
      <c r="R977" s="165"/>
      <c r="T977" s="165"/>
      <c r="Y977" s="165"/>
      <c r="Z977" s="165"/>
      <c r="AA977" s="165"/>
      <c r="AE977" s="165"/>
    </row>
    <row r="978" spans="7:31" ht="20.100000000000001" customHeight="1" x14ac:dyDescent="0.2">
      <c r="G978" s="165"/>
      <c r="H978" s="165"/>
      <c r="J978" s="165"/>
      <c r="K978" s="165"/>
      <c r="O978" s="165"/>
      <c r="P978" s="165"/>
      <c r="Q978" s="165"/>
      <c r="R978" s="165"/>
      <c r="T978" s="165"/>
      <c r="Y978" s="165"/>
      <c r="Z978" s="165"/>
      <c r="AA978" s="165"/>
      <c r="AE978" s="165"/>
    </row>
    <row r="979" spans="7:31" ht="20.100000000000001" customHeight="1" x14ac:dyDescent="0.2">
      <c r="G979" s="165"/>
      <c r="H979" s="165"/>
      <c r="J979" s="165"/>
      <c r="K979" s="165"/>
      <c r="O979" s="165"/>
      <c r="P979" s="165"/>
      <c r="Q979" s="165"/>
      <c r="R979" s="165"/>
      <c r="T979" s="165"/>
      <c r="Y979" s="165"/>
      <c r="Z979" s="165"/>
      <c r="AA979" s="165"/>
      <c r="AE979" s="165"/>
    </row>
    <row r="980" spans="7:31" ht="20.100000000000001" customHeight="1" x14ac:dyDescent="0.2">
      <c r="G980" s="165"/>
      <c r="H980" s="165"/>
      <c r="J980" s="165"/>
      <c r="K980" s="165"/>
      <c r="O980" s="165"/>
      <c r="P980" s="165"/>
      <c r="Q980" s="165"/>
      <c r="R980" s="165"/>
      <c r="T980" s="165"/>
      <c r="Y980" s="165"/>
      <c r="Z980" s="165"/>
      <c r="AA980" s="165"/>
      <c r="AE980" s="165"/>
    </row>
    <row r="981" spans="7:31" ht="20.100000000000001" customHeight="1" x14ac:dyDescent="0.2">
      <c r="G981" s="165"/>
      <c r="H981" s="165"/>
      <c r="J981" s="165"/>
      <c r="K981" s="165"/>
      <c r="O981" s="165"/>
      <c r="P981" s="165"/>
      <c r="Q981" s="165"/>
      <c r="R981" s="165"/>
      <c r="T981" s="165"/>
      <c r="Y981" s="165"/>
      <c r="Z981" s="165"/>
      <c r="AA981" s="165"/>
      <c r="AE981" s="165"/>
    </row>
    <row r="982" spans="7:31" ht="20.100000000000001" customHeight="1" x14ac:dyDescent="0.2">
      <c r="G982" s="165"/>
      <c r="H982" s="165"/>
      <c r="J982" s="165"/>
      <c r="K982" s="165"/>
      <c r="O982" s="165"/>
      <c r="P982" s="165"/>
      <c r="Q982" s="165"/>
      <c r="R982" s="165"/>
      <c r="T982" s="165"/>
      <c r="Y982" s="165"/>
      <c r="Z982" s="165"/>
      <c r="AA982" s="165"/>
      <c r="AE982" s="165"/>
    </row>
    <row r="983" spans="7:31" ht="20.100000000000001" customHeight="1" x14ac:dyDescent="0.2">
      <c r="G983" s="165"/>
      <c r="H983" s="165"/>
      <c r="J983" s="165"/>
      <c r="K983" s="165"/>
      <c r="O983" s="165"/>
      <c r="P983" s="165"/>
      <c r="Q983" s="165"/>
      <c r="R983" s="165"/>
      <c r="T983" s="165"/>
      <c r="Y983" s="165"/>
      <c r="Z983" s="165"/>
      <c r="AA983" s="165"/>
      <c r="AE983" s="165"/>
    </row>
    <row r="984" spans="7:31" ht="20.100000000000001" customHeight="1" x14ac:dyDescent="0.2">
      <c r="G984" s="165"/>
      <c r="H984" s="165"/>
      <c r="J984" s="165"/>
      <c r="K984" s="165"/>
      <c r="O984" s="165"/>
      <c r="P984" s="165"/>
      <c r="Q984" s="165"/>
      <c r="R984" s="165"/>
      <c r="T984" s="165"/>
      <c r="Y984" s="165"/>
      <c r="Z984" s="165"/>
      <c r="AA984" s="165"/>
      <c r="AE984" s="165"/>
    </row>
    <row r="985" spans="7:31" ht="20.100000000000001" customHeight="1" x14ac:dyDescent="0.2">
      <c r="G985" s="165"/>
      <c r="H985" s="165"/>
      <c r="J985" s="165"/>
      <c r="K985" s="165"/>
      <c r="O985" s="165"/>
      <c r="P985" s="165"/>
      <c r="Q985" s="165"/>
      <c r="R985" s="165"/>
      <c r="T985" s="165"/>
      <c r="Y985" s="165"/>
      <c r="Z985" s="165"/>
      <c r="AA985" s="165"/>
      <c r="AE985" s="165"/>
    </row>
    <row r="986" spans="7:31" ht="20.100000000000001" customHeight="1" x14ac:dyDescent="0.2">
      <c r="G986" s="165"/>
      <c r="H986" s="165"/>
      <c r="J986" s="165"/>
      <c r="K986" s="165"/>
      <c r="O986" s="165"/>
      <c r="P986" s="165"/>
      <c r="Q986" s="165"/>
      <c r="R986" s="165"/>
      <c r="T986" s="165"/>
      <c r="Y986" s="165"/>
      <c r="Z986" s="165"/>
      <c r="AA986" s="165"/>
      <c r="AE986" s="165"/>
    </row>
    <row r="987" spans="7:31" ht="20.100000000000001" customHeight="1" x14ac:dyDescent="0.2">
      <c r="G987" s="165"/>
      <c r="H987" s="165"/>
      <c r="J987" s="165"/>
      <c r="K987" s="165"/>
      <c r="O987" s="165"/>
      <c r="P987" s="165"/>
      <c r="Q987" s="165"/>
      <c r="R987" s="165"/>
      <c r="T987" s="165"/>
      <c r="Y987" s="165"/>
      <c r="Z987" s="165"/>
      <c r="AA987" s="165"/>
      <c r="AE987" s="165"/>
    </row>
    <row r="988" spans="7:31" ht="20.100000000000001" customHeight="1" x14ac:dyDescent="0.2">
      <c r="G988" s="165"/>
      <c r="H988" s="165"/>
      <c r="J988" s="165"/>
      <c r="K988" s="165"/>
      <c r="O988" s="165"/>
      <c r="P988" s="165"/>
      <c r="Q988" s="165"/>
      <c r="R988" s="165"/>
      <c r="T988" s="165"/>
      <c r="Y988" s="165"/>
      <c r="Z988" s="165"/>
      <c r="AA988" s="165"/>
      <c r="AE988" s="165"/>
    </row>
    <row r="989" spans="7:31" ht="20.100000000000001" customHeight="1" x14ac:dyDescent="0.2">
      <c r="G989" s="165"/>
      <c r="H989" s="165"/>
      <c r="J989" s="165"/>
      <c r="K989" s="165"/>
      <c r="O989" s="165"/>
      <c r="P989" s="165"/>
      <c r="Q989" s="165"/>
      <c r="R989" s="165"/>
      <c r="T989" s="165"/>
      <c r="Y989" s="165"/>
      <c r="Z989" s="165"/>
      <c r="AA989" s="165"/>
      <c r="AE989" s="165"/>
    </row>
    <row r="990" spans="7:31" ht="20.100000000000001" customHeight="1" x14ac:dyDescent="0.2">
      <c r="G990" s="165"/>
      <c r="H990" s="165"/>
      <c r="J990" s="165"/>
      <c r="K990" s="165"/>
      <c r="O990" s="165"/>
      <c r="P990" s="165"/>
      <c r="Q990" s="165"/>
      <c r="R990" s="165"/>
      <c r="T990" s="165"/>
      <c r="Y990" s="165"/>
      <c r="Z990" s="165"/>
      <c r="AA990" s="165"/>
      <c r="AE990" s="165"/>
    </row>
    <row r="991" spans="7:31" ht="20.100000000000001" customHeight="1" x14ac:dyDescent="0.2">
      <c r="G991" s="165"/>
      <c r="H991" s="165"/>
      <c r="J991" s="165"/>
      <c r="K991" s="165"/>
      <c r="O991" s="165"/>
      <c r="P991" s="165"/>
      <c r="Q991" s="165"/>
      <c r="R991" s="165"/>
      <c r="T991" s="165"/>
      <c r="Y991" s="165"/>
      <c r="Z991" s="165"/>
      <c r="AA991" s="165"/>
      <c r="AE991" s="165"/>
    </row>
    <row r="992" spans="7:31" ht="20.100000000000001" customHeight="1" x14ac:dyDescent="0.2">
      <c r="G992" s="165"/>
      <c r="H992" s="165"/>
      <c r="J992" s="165"/>
      <c r="K992" s="165"/>
      <c r="O992" s="165"/>
      <c r="P992" s="165"/>
      <c r="Q992" s="165"/>
      <c r="R992" s="165"/>
      <c r="T992" s="165"/>
      <c r="Y992" s="165"/>
      <c r="Z992" s="165"/>
      <c r="AA992" s="165"/>
      <c r="AE992" s="165"/>
    </row>
    <row r="993" spans="7:31" ht="20.100000000000001" customHeight="1" x14ac:dyDescent="0.2">
      <c r="G993" s="165"/>
      <c r="H993" s="165"/>
      <c r="J993" s="165"/>
      <c r="K993" s="165"/>
      <c r="O993" s="165"/>
      <c r="P993" s="165"/>
      <c r="Q993" s="165"/>
      <c r="R993" s="165"/>
      <c r="T993" s="165"/>
      <c r="Y993" s="165"/>
      <c r="Z993" s="165"/>
      <c r="AA993" s="165"/>
      <c r="AE993" s="165"/>
    </row>
    <row r="994" spans="7:31" ht="20.100000000000001" customHeight="1" x14ac:dyDescent="0.2">
      <c r="G994" s="165"/>
      <c r="H994" s="165"/>
      <c r="J994" s="165"/>
      <c r="K994" s="165"/>
      <c r="O994" s="165"/>
      <c r="P994" s="165"/>
      <c r="Q994" s="165"/>
      <c r="R994" s="165"/>
      <c r="T994" s="165"/>
      <c r="Y994" s="165"/>
      <c r="Z994" s="165"/>
      <c r="AA994" s="165"/>
      <c r="AE994" s="165"/>
    </row>
    <row r="995" spans="7:31" ht="20.100000000000001" customHeight="1" x14ac:dyDescent="0.2">
      <c r="G995" s="165"/>
      <c r="H995" s="165"/>
      <c r="J995" s="165"/>
      <c r="K995" s="165"/>
      <c r="O995" s="165"/>
      <c r="P995" s="165"/>
      <c r="Q995" s="165"/>
      <c r="R995" s="165"/>
      <c r="T995" s="165"/>
      <c r="Y995" s="165"/>
      <c r="Z995" s="165"/>
      <c r="AA995" s="165"/>
      <c r="AE995" s="165"/>
    </row>
    <row r="996" spans="7:31" ht="20.100000000000001" customHeight="1" x14ac:dyDescent="0.2">
      <c r="G996" s="165"/>
      <c r="H996" s="165"/>
      <c r="J996" s="165"/>
      <c r="K996" s="165"/>
      <c r="O996" s="165"/>
      <c r="P996" s="165"/>
      <c r="Q996" s="165"/>
      <c r="R996" s="165"/>
      <c r="T996" s="165"/>
      <c r="Y996" s="165"/>
      <c r="Z996" s="165"/>
      <c r="AA996" s="165"/>
      <c r="AE996" s="165"/>
    </row>
    <row r="997" spans="7:31" ht="20.100000000000001" customHeight="1" x14ac:dyDescent="0.2">
      <c r="G997" s="165"/>
      <c r="H997" s="165"/>
      <c r="J997" s="165"/>
      <c r="K997" s="165"/>
      <c r="O997" s="165"/>
      <c r="P997" s="165"/>
      <c r="Q997" s="165"/>
      <c r="R997" s="165"/>
      <c r="T997" s="165"/>
      <c r="Y997" s="165"/>
      <c r="Z997" s="165"/>
      <c r="AA997" s="165"/>
      <c r="AE997" s="165"/>
    </row>
    <row r="998" spans="7:31" ht="20.100000000000001" customHeight="1" x14ac:dyDescent="0.2">
      <c r="G998" s="165"/>
      <c r="H998" s="165"/>
      <c r="J998" s="165"/>
      <c r="K998" s="165"/>
      <c r="O998" s="165"/>
      <c r="P998" s="165"/>
      <c r="Q998" s="165"/>
      <c r="R998" s="165"/>
      <c r="T998" s="165"/>
      <c r="Y998" s="165"/>
      <c r="Z998" s="165"/>
      <c r="AA998" s="165"/>
      <c r="AE998" s="165"/>
    </row>
    <row r="999" spans="7:31" ht="20.100000000000001" customHeight="1" x14ac:dyDescent="0.2">
      <c r="G999" s="165"/>
      <c r="H999" s="165"/>
      <c r="J999" s="165"/>
      <c r="K999" s="165"/>
      <c r="O999" s="165"/>
      <c r="P999" s="165"/>
      <c r="Q999" s="165"/>
      <c r="R999" s="165"/>
      <c r="T999" s="165"/>
      <c r="Y999" s="165"/>
      <c r="Z999" s="165"/>
      <c r="AA999" s="165"/>
      <c r="AE999" s="165"/>
    </row>
    <row r="1000" spans="7:31" ht="20.100000000000001" customHeight="1" x14ac:dyDescent="0.2">
      <c r="G1000" s="165"/>
      <c r="H1000" s="165"/>
      <c r="J1000" s="165"/>
      <c r="K1000" s="165"/>
      <c r="O1000" s="165"/>
      <c r="P1000" s="165"/>
      <c r="Q1000" s="165"/>
      <c r="R1000" s="165"/>
      <c r="T1000" s="165"/>
      <c r="Y1000" s="165"/>
      <c r="Z1000" s="165"/>
      <c r="AA1000" s="165"/>
      <c r="AE1000" s="165"/>
    </row>
    <row r="1001" spans="7:31" ht="20.100000000000001" customHeight="1" x14ac:dyDescent="0.2">
      <c r="G1001" s="165"/>
      <c r="H1001" s="165"/>
      <c r="J1001" s="165"/>
      <c r="K1001" s="165"/>
      <c r="O1001" s="165"/>
      <c r="P1001" s="165"/>
      <c r="Q1001" s="165"/>
      <c r="R1001" s="165"/>
      <c r="T1001" s="165"/>
      <c r="Y1001" s="165"/>
      <c r="Z1001" s="165"/>
      <c r="AA1001" s="165"/>
      <c r="AE1001" s="165"/>
    </row>
    <row r="1002" spans="7:31" ht="20.100000000000001" customHeight="1" x14ac:dyDescent="0.2">
      <c r="G1002" s="165"/>
      <c r="H1002" s="165"/>
      <c r="J1002" s="165"/>
      <c r="K1002" s="165"/>
      <c r="O1002" s="165"/>
      <c r="P1002" s="165"/>
      <c r="Q1002" s="165"/>
      <c r="R1002" s="165"/>
      <c r="T1002" s="165"/>
      <c r="Y1002" s="165"/>
      <c r="Z1002" s="165"/>
      <c r="AA1002" s="165"/>
      <c r="AE1002" s="165"/>
    </row>
  </sheetData>
  <mergeCells count="16">
    <mergeCell ref="AB4:AC4"/>
    <mergeCell ref="AF4:AG4"/>
    <mergeCell ref="AI4:AJ4"/>
    <mergeCell ref="AO4:AP4"/>
    <mergeCell ref="L5:M5"/>
    <mergeCell ref="AB5:AC5"/>
    <mergeCell ref="AF5:AG5"/>
    <mergeCell ref="AI5:AJ5"/>
    <mergeCell ref="AO5:AP5"/>
    <mergeCell ref="AL4:AM4"/>
    <mergeCell ref="AL5:AM5"/>
    <mergeCell ref="J28:K28"/>
    <mergeCell ref="Y28:AA28"/>
    <mergeCell ref="J44:K44"/>
    <mergeCell ref="Y44:AA44"/>
    <mergeCell ref="L4:M4"/>
  </mergeCells>
  <printOptions horizontalCentered="1"/>
  <pageMargins left="0.7" right="0.7" top="0.75" bottom="0.75" header="0.3" footer="0.3"/>
  <pageSetup scale="78" orientation="landscape" r:id="rId1"/>
  <headerFooter>
    <oddFooter>&amp;LBLS&amp;CUtah System of Higher Education&amp;RPage 10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view="pageBreakPreview" zoomScaleNormal="100" zoomScaleSheetLayoutView="100" workbookViewId="0">
      <selection activeCell="E20" sqref="E20"/>
    </sheetView>
  </sheetViews>
  <sheetFormatPr defaultRowHeight="16.5" x14ac:dyDescent="0.3"/>
  <cols>
    <col min="1" max="1" width="17.28515625" style="1" customWidth="1"/>
    <col min="2" max="2" width="37.42578125" style="1" customWidth="1"/>
    <col min="3" max="3" width="18.85546875" style="8" customWidth="1"/>
    <col min="4" max="4" width="15.28515625" style="8" bestFit="1" customWidth="1"/>
    <col min="5" max="5" width="20.28515625" style="8" customWidth="1"/>
    <col min="6" max="6" width="13.28515625" style="6" customWidth="1"/>
    <col min="7" max="16384" width="9.140625" style="1"/>
  </cols>
  <sheetData>
    <row r="1" spans="1:6" ht="27.75" customHeight="1" thickBot="1" x14ac:dyDescent="0.35">
      <c r="A1" s="39" t="s">
        <v>0</v>
      </c>
      <c r="B1" s="5"/>
      <c r="C1" s="7"/>
      <c r="D1" s="7"/>
      <c r="E1" s="1054" t="s">
        <v>149</v>
      </c>
      <c r="F1" s="1054"/>
    </row>
    <row r="2" spans="1:6" x14ac:dyDescent="0.3">
      <c r="A2" s="3" t="s">
        <v>668</v>
      </c>
    </row>
    <row r="3" spans="1:6" x14ac:dyDescent="0.3">
      <c r="A3" s="3"/>
    </row>
    <row r="4" spans="1:6" x14ac:dyDescent="0.3">
      <c r="A4" s="1048" t="s">
        <v>3</v>
      </c>
      <c r="B4" s="1049"/>
      <c r="C4" s="1049"/>
      <c r="D4" s="1049"/>
      <c r="E4" s="1049"/>
      <c r="F4" s="1050"/>
    </row>
    <row r="5" spans="1:6" ht="16.5" customHeight="1" x14ac:dyDescent="0.3">
      <c r="A5" s="1051"/>
      <c r="B5" s="1052"/>
      <c r="C5" s="1052"/>
      <c r="D5" s="1052"/>
      <c r="E5" s="1052"/>
      <c r="F5" s="1053"/>
    </row>
    <row r="6" spans="1:6" ht="57" customHeight="1" x14ac:dyDescent="0.3">
      <c r="A6" s="24" t="s">
        <v>1</v>
      </c>
      <c r="B6" s="24" t="s">
        <v>4</v>
      </c>
      <c r="C6" s="25" t="s">
        <v>632</v>
      </c>
      <c r="D6" s="25" t="s">
        <v>633</v>
      </c>
      <c r="E6" s="25" t="s">
        <v>634</v>
      </c>
      <c r="F6" s="26" t="s">
        <v>10</v>
      </c>
    </row>
    <row r="7" spans="1:6" ht="15.95" customHeight="1" x14ac:dyDescent="0.3">
      <c r="A7" s="24"/>
      <c r="B7" s="9"/>
      <c r="C7" s="16"/>
      <c r="D7" s="12"/>
      <c r="E7" s="12"/>
      <c r="F7" s="14"/>
    </row>
    <row r="8" spans="1:6" ht="15.95" customHeight="1" x14ac:dyDescent="0.3">
      <c r="A8" s="27" t="s">
        <v>24</v>
      </c>
      <c r="B8" s="10" t="s">
        <v>15</v>
      </c>
      <c r="C8" s="118">
        <v>7997</v>
      </c>
      <c r="D8" s="397">
        <v>0</v>
      </c>
      <c r="E8" s="118">
        <f>SUM(C8,D8)</f>
        <v>7997</v>
      </c>
      <c r="F8" s="158">
        <f>(E8-C8)/C8</f>
        <v>0</v>
      </c>
    </row>
    <row r="9" spans="1:6" ht="15.95" customHeight="1" x14ac:dyDescent="0.3">
      <c r="A9" s="27"/>
      <c r="B9" s="23"/>
      <c r="C9" s="118"/>
      <c r="D9" s="398"/>
      <c r="E9" s="118"/>
      <c r="F9" s="117"/>
    </row>
    <row r="10" spans="1:6" ht="15.95" customHeight="1" x14ac:dyDescent="0.3">
      <c r="A10" s="27" t="s">
        <v>18</v>
      </c>
      <c r="B10" s="10" t="s">
        <v>14</v>
      </c>
      <c r="C10" s="118">
        <v>6342.6</v>
      </c>
      <c r="D10" s="397">
        <v>0</v>
      </c>
      <c r="E10" s="118">
        <f t="shared" ref="E10" si="0">SUM(C10,D10)</f>
        <v>6342.6</v>
      </c>
      <c r="F10" s="117">
        <f>(E10-C10)/C10</f>
        <v>0</v>
      </c>
    </row>
    <row r="11" spans="1:6" ht="15.95" customHeight="1" x14ac:dyDescent="0.3">
      <c r="A11" s="27"/>
      <c r="B11" s="10"/>
      <c r="C11" s="118"/>
      <c r="D11" s="398"/>
      <c r="E11" s="118"/>
      <c r="F11" s="117"/>
    </row>
    <row r="12" spans="1:6" ht="15.95" customHeight="1" x14ac:dyDescent="0.3">
      <c r="A12" s="27" t="s">
        <v>5</v>
      </c>
      <c r="B12" s="10" t="s">
        <v>4</v>
      </c>
      <c r="C12" s="118">
        <v>4891.9399999999996</v>
      </c>
      <c r="D12" s="397">
        <v>0</v>
      </c>
      <c r="E12" s="118">
        <f>SUM(C12,D12)</f>
        <v>4891.9399999999996</v>
      </c>
      <c r="F12" s="117">
        <f>(E12-C12)/C12</f>
        <v>0</v>
      </c>
    </row>
    <row r="13" spans="1:6" ht="15.95" customHeight="1" x14ac:dyDescent="0.3">
      <c r="A13" s="27"/>
      <c r="B13" s="10"/>
      <c r="C13" s="118"/>
      <c r="D13" s="398"/>
      <c r="E13" s="118"/>
      <c r="F13" s="117"/>
    </row>
    <row r="14" spans="1:6" ht="15.95" customHeight="1" x14ac:dyDescent="0.3">
      <c r="A14" s="27" t="s">
        <v>6</v>
      </c>
      <c r="B14" s="10" t="s">
        <v>4</v>
      </c>
      <c r="C14" s="118">
        <v>6006</v>
      </c>
      <c r="D14" s="397">
        <v>0</v>
      </c>
      <c r="E14" s="118">
        <f>SUM(C14,D14)</f>
        <v>6006</v>
      </c>
      <c r="F14" s="117">
        <f>(E14-C14)/C14</f>
        <v>0</v>
      </c>
    </row>
    <row r="15" spans="1:6" ht="15.95" customHeight="1" x14ac:dyDescent="0.3">
      <c r="A15" s="27"/>
      <c r="B15" s="10"/>
      <c r="C15" s="118"/>
      <c r="D15" s="398"/>
      <c r="E15" s="118"/>
      <c r="F15" s="117"/>
    </row>
    <row r="16" spans="1:6" ht="15.95" customHeight="1" x14ac:dyDescent="0.3">
      <c r="A16" s="27" t="s">
        <v>233</v>
      </c>
      <c r="B16" s="10" t="s">
        <v>4</v>
      </c>
      <c r="C16" s="118">
        <v>3326</v>
      </c>
      <c r="D16" s="397">
        <v>0</v>
      </c>
      <c r="E16" s="118">
        <f>SUM(C16,D16)</f>
        <v>3326</v>
      </c>
      <c r="F16" s="117">
        <f>(E16-C16)/C16</f>
        <v>0</v>
      </c>
    </row>
    <row r="17" spans="1:8" ht="15.95" customHeight="1" x14ac:dyDescent="0.3">
      <c r="A17" s="27"/>
      <c r="B17" s="10"/>
      <c r="C17" s="118"/>
      <c r="D17" s="398"/>
      <c r="E17" s="118"/>
      <c r="F17" s="117"/>
    </row>
    <row r="18" spans="1:8" ht="15.95" customHeight="1" x14ac:dyDescent="0.3">
      <c r="A18" s="27" t="s">
        <v>145</v>
      </c>
      <c r="B18" s="10" t="s">
        <v>4</v>
      </c>
      <c r="C18" s="118">
        <v>4458</v>
      </c>
      <c r="D18" s="397">
        <v>0</v>
      </c>
      <c r="E18" s="118">
        <f>SUM(C18,D18)</f>
        <v>4458</v>
      </c>
      <c r="F18" s="117">
        <f>(E18-C18)/C18</f>
        <v>0</v>
      </c>
    </row>
    <row r="19" spans="1:8" ht="15.95" customHeight="1" x14ac:dyDescent="0.3">
      <c r="A19" s="27"/>
      <c r="B19" s="10"/>
      <c r="C19" s="118"/>
      <c r="D19" s="398"/>
      <c r="E19" s="118"/>
      <c r="F19" s="117"/>
    </row>
    <row r="20" spans="1:8" ht="15.95" customHeight="1" x14ac:dyDescent="0.3">
      <c r="A20" s="27" t="s">
        <v>8</v>
      </c>
      <c r="B20" s="10" t="s">
        <v>4</v>
      </c>
      <c r="C20" s="118">
        <v>5036</v>
      </c>
      <c r="D20" s="397">
        <v>0</v>
      </c>
      <c r="E20" s="118">
        <f>SUM(C20,D20)</f>
        <v>5036</v>
      </c>
      <c r="F20" s="117">
        <f>(E20-C20)/C20</f>
        <v>0</v>
      </c>
    </row>
    <row r="21" spans="1:8" ht="15.95" customHeight="1" x14ac:dyDescent="0.3">
      <c r="A21" s="27"/>
      <c r="B21" s="10"/>
      <c r="C21" s="118"/>
      <c r="D21" s="398"/>
      <c r="E21" s="118"/>
      <c r="F21" s="117"/>
    </row>
    <row r="22" spans="1:8" ht="15.95" customHeight="1" x14ac:dyDescent="0.3">
      <c r="A22" s="27" t="s">
        <v>9</v>
      </c>
      <c r="B22" s="10" t="s">
        <v>4</v>
      </c>
      <c r="C22" s="118">
        <v>3369</v>
      </c>
      <c r="D22" s="397">
        <v>0</v>
      </c>
      <c r="E22" s="118">
        <f>SUM(C22,D22)</f>
        <v>3369</v>
      </c>
      <c r="F22" s="117">
        <f>(E22-C22)/C22</f>
        <v>0</v>
      </c>
    </row>
    <row r="23" spans="1:8" ht="15.95" customHeight="1" x14ac:dyDescent="0.3">
      <c r="A23" s="28"/>
      <c r="B23" s="11"/>
      <c r="C23" s="134"/>
      <c r="D23" s="135"/>
      <c r="E23" s="135"/>
      <c r="F23" s="136"/>
    </row>
    <row r="24" spans="1:8" x14ac:dyDescent="0.3">
      <c r="A24" s="21" t="s">
        <v>137</v>
      </c>
      <c r="B24" s="18"/>
      <c r="C24" s="19"/>
      <c r="D24" s="19"/>
      <c r="E24" s="19"/>
      <c r="F24" s="20"/>
    </row>
    <row r="25" spans="1:8" x14ac:dyDescent="0.3">
      <c r="A25" s="22"/>
    </row>
    <row r="26" spans="1:8" x14ac:dyDescent="0.3">
      <c r="A26" s="1048" t="s">
        <v>36</v>
      </c>
      <c r="B26" s="1049"/>
      <c r="C26" s="1049"/>
      <c r="D26" s="1049"/>
      <c r="E26" s="1049"/>
      <c r="F26" s="1050"/>
    </row>
    <row r="27" spans="1:8" x14ac:dyDescent="0.3">
      <c r="A27" s="1051"/>
      <c r="B27" s="1052"/>
      <c r="C27" s="1052"/>
      <c r="D27" s="1052"/>
      <c r="E27" s="1052"/>
      <c r="F27" s="1053"/>
    </row>
    <row r="28" spans="1:8" ht="49.5" x14ac:dyDescent="0.3">
      <c r="A28" s="24" t="s">
        <v>1</v>
      </c>
      <c r="B28" s="24" t="s">
        <v>669</v>
      </c>
      <c r="C28" s="25" t="s">
        <v>632</v>
      </c>
      <c r="D28" s="25" t="s">
        <v>633</v>
      </c>
      <c r="E28" s="25" t="s">
        <v>634</v>
      </c>
      <c r="F28" s="26" t="s">
        <v>10</v>
      </c>
    </row>
    <row r="29" spans="1:8" ht="15.95" customHeight="1" x14ac:dyDescent="0.3">
      <c r="A29" s="24"/>
      <c r="B29" s="9"/>
      <c r="C29" s="16"/>
      <c r="D29" s="12"/>
      <c r="E29" s="12"/>
      <c r="F29" s="14"/>
    </row>
    <row r="30" spans="1:8" ht="15.95" customHeight="1" x14ac:dyDescent="0.3">
      <c r="A30" s="27" t="s">
        <v>24</v>
      </c>
      <c r="B30" s="10" t="s">
        <v>22</v>
      </c>
      <c r="C30" s="118">
        <v>6987</v>
      </c>
      <c r="D30" s="397">
        <v>0</v>
      </c>
      <c r="E30" s="118">
        <f>SUM(C30,D30)</f>
        <v>6987</v>
      </c>
      <c r="F30" s="117">
        <f>(E30-C30)/C30</f>
        <v>0</v>
      </c>
    </row>
    <row r="31" spans="1:8" ht="15.95" customHeight="1" x14ac:dyDescent="0.3">
      <c r="A31" s="27"/>
      <c r="B31" s="10"/>
      <c r="C31" s="118"/>
      <c r="D31" s="398"/>
      <c r="E31" s="118"/>
      <c r="F31" s="117"/>
      <c r="H31" s="126"/>
    </row>
    <row r="32" spans="1:8" ht="15.95" customHeight="1" x14ac:dyDescent="0.3">
      <c r="A32" s="27" t="s">
        <v>18</v>
      </c>
      <c r="B32" s="10" t="s">
        <v>22</v>
      </c>
      <c r="C32" s="118">
        <v>6366.6</v>
      </c>
      <c r="D32" s="397">
        <v>0</v>
      </c>
      <c r="E32" s="118">
        <f>SUM(C32,D32)</f>
        <v>6366.6</v>
      </c>
      <c r="F32" s="117">
        <f>(E32-C32)/C32</f>
        <v>0</v>
      </c>
    </row>
    <row r="33" spans="1:8" ht="15.95" customHeight="1" x14ac:dyDescent="0.3">
      <c r="A33" s="27"/>
      <c r="B33" s="10"/>
      <c r="C33" s="118"/>
      <c r="D33" s="398"/>
      <c r="E33" s="118"/>
      <c r="F33" s="117"/>
      <c r="H33" s="268"/>
    </row>
    <row r="34" spans="1:8" ht="15.95" customHeight="1" x14ac:dyDescent="0.3">
      <c r="A34" s="27" t="s">
        <v>5</v>
      </c>
      <c r="B34" s="10" t="s">
        <v>23</v>
      </c>
      <c r="C34" s="118">
        <v>4939.7199999999993</v>
      </c>
      <c r="D34" s="397">
        <v>0</v>
      </c>
      <c r="E34" s="118">
        <f>SUM(C34,D34)</f>
        <v>4939.7199999999993</v>
      </c>
      <c r="F34" s="117">
        <f>(E34-C34)/C34</f>
        <v>0</v>
      </c>
    </row>
    <row r="35" spans="1:8" ht="15.95" customHeight="1" x14ac:dyDescent="0.3">
      <c r="A35" s="27"/>
      <c r="B35" s="10"/>
      <c r="C35" s="118"/>
      <c r="D35" s="398"/>
      <c r="E35" s="118"/>
      <c r="F35" s="117"/>
    </row>
    <row r="36" spans="1:8" ht="15.95" customHeight="1" x14ac:dyDescent="0.3">
      <c r="A36" s="27" t="s">
        <v>6</v>
      </c>
      <c r="B36" s="10" t="s">
        <v>23</v>
      </c>
      <c r="C36" s="118">
        <v>6110</v>
      </c>
      <c r="D36" s="397">
        <v>0</v>
      </c>
      <c r="E36" s="118">
        <f>SUM(C36,D36)</f>
        <v>6110</v>
      </c>
      <c r="F36" s="117">
        <f>(E36-C36)/C36</f>
        <v>0</v>
      </c>
    </row>
    <row r="37" spans="1:8" ht="15.95" customHeight="1" x14ac:dyDescent="0.3">
      <c r="A37" s="27"/>
      <c r="B37" s="10"/>
      <c r="C37" s="118"/>
      <c r="D37" s="398"/>
      <c r="E37" s="118"/>
      <c r="F37" s="117"/>
    </row>
    <row r="38" spans="1:8" s="124" customFormat="1" ht="15.95" customHeight="1" x14ac:dyDescent="0.3">
      <c r="A38" s="27" t="s">
        <v>145</v>
      </c>
      <c r="B38" s="10" t="s">
        <v>242</v>
      </c>
      <c r="C38" s="118">
        <v>8000</v>
      </c>
      <c r="D38" s="397">
        <v>0</v>
      </c>
      <c r="E38" s="118">
        <f>SUM(C38,D38)</f>
        <v>8000</v>
      </c>
      <c r="F38" s="117">
        <f>(E38-C38)/C38</f>
        <v>0</v>
      </c>
    </row>
    <row r="39" spans="1:8" s="124" customFormat="1" ht="15.95" customHeight="1" x14ac:dyDescent="0.3">
      <c r="A39" s="27"/>
      <c r="B39" s="10"/>
      <c r="C39" s="118"/>
      <c r="D39" s="398"/>
      <c r="E39" s="118"/>
      <c r="F39" s="117"/>
    </row>
    <row r="40" spans="1:8" ht="15.95" customHeight="1" x14ac:dyDescent="0.3">
      <c r="A40" s="27" t="s">
        <v>8</v>
      </c>
      <c r="B40" s="10" t="s">
        <v>23</v>
      </c>
      <c r="C40" s="118">
        <v>5660</v>
      </c>
      <c r="D40" s="397">
        <v>0</v>
      </c>
      <c r="E40" s="118">
        <f>SUM(C40,D40)</f>
        <v>5660</v>
      </c>
      <c r="F40" s="117">
        <f>(E40-C40)/C40</f>
        <v>0</v>
      </c>
    </row>
    <row r="41" spans="1:8" x14ac:dyDescent="0.3">
      <c r="A41" s="28"/>
      <c r="B41" s="11"/>
      <c r="C41" s="17"/>
      <c r="D41" s="13"/>
      <c r="E41" s="13"/>
      <c r="F41" s="15"/>
    </row>
    <row r="42" spans="1:8" x14ac:dyDescent="0.3">
      <c r="A42" s="22" t="s">
        <v>138</v>
      </c>
    </row>
    <row r="43" spans="1:8" x14ac:dyDescent="0.3">
      <c r="A43" s="22" t="s">
        <v>670</v>
      </c>
    </row>
    <row r="44" spans="1:8" x14ac:dyDescent="0.3">
      <c r="A44" s="22" t="s">
        <v>671</v>
      </c>
    </row>
  </sheetData>
  <mergeCells count="3">
    <mergeCell ref="A4:F5"/>
    <mergeCell ref="A26:F27"/>
    <mergeCell ref="E1:F1"/>
  </mergeCells>
  <printOptions horizontalCentered="1"/>
  <pageMargins left="0.7" right="0.7" top="0.75" bottom="0.75" header="0.3" footer="0.3"/>
  <pageSetup scale="73" orientation="portrait" r:id="rId1"/>
  <headerFooter>
    <oddFooter>&amp;LBLS&amp;CUtah System of Higher Education&amp;RPage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view="pageBreakPreview" zoomScaleNormal="100" zoomScaleSheetLayoutView="100" workbookViewId="0"/>
  </sheetViews>
  <sheetFormatPr defaultRowHeight="16.5" x14ac:dyDescent="0.3"/>
  <cols>
    <col min="1" max="1" width="17.28515625" style="1" customWidth="1"/>
    <col min="2" max="2" width="37.42578125" style="1" customWidth="1"/>
    <col min="3" max="3" width="18.85546875" style="8" customWidth="1"/>
    <col min="4" max="4" width="15.28515625" style="8" bestFit="1" customWidth="1"/>
    <col min="5" max="5" width="20.28515625" style="8" customWidth="1"/>
    <col min="6" max="6" width="13.28515625" style="6" customWidth="1"/>
    <col min="7" max="16384" width="9.140625" style="1"/>
  </cols>
  <sheetData>
    <row r="1" spans="1:6" ht="27.75" customHeight="1" thickBot="1" x14ac:dyDescent="0.35">
      <c r="A1" s="39" t="s">
        <v>0</v>
      </c>
      <c r="B1" s="5"/>
      <c r="C1" s="7"/>
      <c r="D1" s="7"/>
      <c r="E1" s="1054" t="s">
        <v>150</v>
      </c>
      <c r="F1" s="1054"/>
    </row>
    <row r="2" spans="1:6" x14ac:dyDescent="0.3">
      <c r="A2" s="3" t="s">
        <v>672</v>
      </c>
    </row>
    <row r="3" spans="1:6" x14ac:dyDescent="0.3">
      <c r="A3" s="3"/>
    </row>
    <row r="4" spans="1:6" x14ac:dyDescent="0.3">
      <c r="A4" s="1048" t="s">
        <v>11</v>
      </c>
      <c r="B4" s="1049"/>
      <c r="C4" s="1049"/>
      <c r="D4" s="1049"/>
      <c r="E4" s="1049"/>
      <c r="F4" s="1050"/>
    </row>
    <row r="5" spans="1:6" ht="16.5" customHeight="1" x14ac:dyDescent="0.3">
      <c r="A5" s="1051"/>
      <c r="B5" s="1052"/>
      <c r="C5" s="1052"/>
      <c r="D5" s="1052"/>
      <c r="E5" s="1052"/>
      <c r="F5" s="1053"/>
    </row>
    <row r="6" spans="1:6" ht="57" customHeight="1" x14ac:dyDescent="0.3">
      <c r="A6" s="24" t="s">
        <v>1</v>
      </c>
      <c r="B6" s="24" t="s">
        <v>12</v>
      </c>
      <c r="C6" s="25" t="s">
        <v>632</v>
      </c>
      <c r="D6" s="25" t="s">
        <v>633</v>
      </c>
      <c r="E6" s="25" t="s">
        <v>634</v>
      </c>
      <c r="F6" s="26" t="s">
        <v>10</v>
      </c>
    </row>
    <row r="7" spans="1:6" ht="15.95" customHeight="1" x14ac:dyDescent="0.3">
      <c r="A7" s="24"/>
      <c r="B7" s="9"/>
      <c r="C7" s="16"/>
      <c r="D7" s="12"/>
      <c r="E7" s="12"/>
      <c r="F7" s="14"/>
    </row>
    <row r="8" spans="1:6" ht="15.95" customHeight="1" x14ac:dyDescent="0.3">
      <c r="A8" s="27" t="s">
        <v>24</v>
      </c>
      <c r="B8" s="10" t="s">
        <v>17</v>
      </c>
      <c r="C8" s="119">
        <v>27990.280000000002</v>
      </c>
      <c r="D8" s="397">
        <v>0</v>
      </c>
      <c r="E8" s="118">
        <f t="shared" ref="E8:E10" si="0">SUM(C8,D8)</f>
        <v>27990.280000000002</v>
      </c>
      <c r="F8" s="117">
        <f>(E8-C8)/C8</f>
        <v>0</v>
      </c>
    </row>
    <row r="9" spans="1:6" ht="15.95" customHeight="1" x14ac:dyDescent="0.3">
      <c r="A9" s="27"/>
      <c r="B9" s="10"/>
      <c r="C9" s="122"/>
      <c r="D9" s="121"/>
      <c r="E9" s="118"/>
      <c r="F9" s="120"/>
    </row>
    <row r="10" spans="1:6" ht="15.95" customHeight="1" x14ac:dyDescent="0.3">
      <c r="A10" s="27" t="s">
        <v>18</v>
      </c>
      <c r="B10" s="10" t="s">
        <v>16</v>
      </c>
      <c r="C10" s="119">
        <v>20423.16</v>
      </c>
      <c r="D10" s="397">
        <v>0</v>
      </c>
      <c r="E10" s="118">
        <f t="shared" si="0"/>
        <v>20423.16</v>
      </c>
      <c r="F10" s="117">
        <f>(E10-C10)/C10</f>
        <v>0</v>
      </c>
    </row>
    <row r="11" spans="1:6" ht="15.95" customHeight="1" x14ac:dyDescent="0.3">
      <c r="A11" s="27"/>
      <c r="B11" s="10"/>
      <c r="C11" s="122"/>
      <c r="D11" s="121"/>
      <c r="E11" s="118"/>
      <c r="F11" s="120"/>
    </row>
    <row r="12" spans="1:6" ht="15.95" customHeight="1" x14ac:dyDescent="0.3">
      <c r="A12" s="27" t="s">
        <v>5</v>
      </c>
      <c r="B12" s="10" t="s">
        <v>12</v>
      </c>
      <c r="C12" s="119">
        <v>14679</v>
      </c>
      <c r="D12" s="397">
        <v>0</v>
      </c>
      <c r="E12" s="118">
        <f>SUM(C12,D12)</f>
        <v>14679</v>
      </c>
      <c r="F12" s="117">
        <f>(E12-C12)/C12</f>
        <v>0</v>
      </c>
    </row>
    <row r="13" spans="1:6" ht="15.95" customHeight="1" x14ac:dyDescent="0.3">
      <c r="A13" s="27"/>
      <c r="B13" s="10"/>
      <c r="C13" s="122"/>
      <c r="D13" s="121"/>
      <c r="E13" s="118"/>
      <c r="F13" s="120"/>
    </row>
    <row r="14" spans="1:6" ht="15.95" customHeight="1" x14ac:dyDescent="0.3">
      <c r="A14" s="27" t="s">
        <v>6</v>
      </c>
      <c r="B14" s="10" t="s">
        <v>12</v>
      </c>
      <c r="C14" s="119">
        <v>19822</v>
      </c>
      <c r="D14" s="397">
        <v>0</v>
      </c>
      <c r="E14" s="118">
        <f>SUM(C14,D14)</f>
        <v>19822</v>
      </c>
      <c r="F14" s="117">
        <f>(E14-C14)/C14</f>
        <v>0</v>
      </c>
    </row>
    <row r="15" spans="1:6" ht="15.95" customHeight="1" x14ac:dyDescent="0.3">
      <c r="A15" s="27"/>
      <c r="B15" s="10"/>
      <c r="C15" s="122"/>
      <c r="D15" s="121"/>
      <c r="E15" s="118"/>
      <c r="F15" s="120"/>
    </row>
    <row r="16" spans="1:6" ht="15.95" customHeight="1" x14ac:dyDescent="0.3">
      <c r="A16" s="27" t="s">
        <v>233</v>
      </c>
      <c r="B16" s="10" t="s">
        <v>12</v>
      </c>
      <c r="C16" s="119">
        <v>12146</v>
      </c>
      <c r="D16" s="397">
        <v>0</v>
      </c>
      <c r="E16" s="118">
        <f>SUM(C16,D16)</f>
        <v>12146</v>
      </c>
      <c r="F16" s="117">
        <f>(E16-C16)/C16</f>
        <v>0</v>
      </c>
    </row>
    <row r="17" spans="1:6" ht="15.95" customHeight="1" x14ac:dyDescent="0.3">
      <c r="A17" s="27"/>
      <c r="B17" s="10"/>
      <c r="C17" s="122"/>
      <c r="D17" s="121"/>
      <c r="E17" s="118"/>
      <c r="F17" s="120"/>
    </row>
    <row r="18" spans="1:6" ht="15.95" customHeight="1" x14ac:dyDescent="0.3">
      <c r="A18" s="27" t="s">
        <v>145</v>
      </c>
      <c r="B18" s="10" t="s">
        <v>12</v>
      </c>
      <c r="C18" s="119">
        <v>14256</v>
      </c>
      <c r="D18" s="397">
        <v>0</v>
      </c>
      <c r="E18" s="118">
        <f>SUM(C18,D18)</f>
        <v>14256</v>
      </c>
      <c r="F18" s="117">
        <f>(E18-C18)/C18</f>
        <v>0</v>
      </c>
    </row>
    <row r="19" spans="1:6" ht="15.95" customHeight="1" x14ac:dyDescent="0.3">
      <c r="A19" s="27"/>
      <c r="B19" s="10"/>
      <c r="C19" s="122"/>
      <c r="D19" s="121"/>
      <c r="E19" s="118"/>
      <c r="F19" s="120"/>
    </row>
    <row r="20" spans="1:6" ht="15.95" customHeight="1" x14ac:dyDescent="0.3">
      <c r="A20" s="27" t="s">
        <v>8</v>
      </c>
      <c r="B20" s="10" t="s">
        <v>12</v>
      </c>
      <c r="C20" s="119">
        <v>15606</v>
      </c>
      <c r="D20" s="397">
        <v>0</v>
      </c>
      <c r="E20" s="118">
        <f>SUM(C20,D20)</f>
        <v>15606</v>
      </c>
      <c r="F20" s="117">
        <f>(E20-C20)/C20</f>
        <v>0</v>
      </c>
    </row>
    <row r="21" spans="1:6" ht="15.95" customHeight="1" x14ac:dyDescent="0.3">
      <c r="A21" s="27"/>
      <c r="B21" s="10"/>
      <c r="C21" s="122"/>
      <c r="D21" s="121"/>
      <c r="E21" s="121"/>
      <c r="F21" s="120"/>
    </row>
    <row r="22" spans="1:6" ht="15.95" customHeight="1" x14ac:dyDescent="0.3">
      <c r="A22" s="27" t="s">
        <v>9</v>
      </c>
      <c r="B22" s="10" t="s">
        <v>12</v>
      </c>
      <c r="C22" s="119">
        <v>11732</v>
      </c>
      <c r="D22" s="397">
        <v>0</v>
      </c>
      <c r="E22" s="118">
        <f>SUM(C22,D22)</f>
        <v>11732</v>
      </c>
      <c r="F22" s="117">
        <f>(E22-C22)/C22</f>
        <v>0</v>
      </c>
    </row>
    <row r="23" spans="1:6" ht="15.95" customHeight="1" x14ac:dyDescent="0.3">
      <c r="A23" s="28"/>
      <c r="B23" s="11"/>
      <c r="C23" s="17"/>
      <c r="D23" s="13"/>
      <c r="E23" s="13"/>
      <c r="F23" s="15"/>
    </row>
    <row r="24" spans="1:6" ht="15.95" customHeight="1" x14ac:dyDescent="0.3">
      <c r="A24" s="21" t="s">
        <v>137</v>
      </c>
      <c r="B24" s="18"/>
      <c r="C24" s="19"/>
      <c r="D24" s="19"/>
      <c r="E24" s="19"/>
      <c r="F24" s="20"/>
    </row>
    <row r="25" spans="1:6" ht="15.95" customHeight="1" x14ac:dyDescent="0.3">
      <c r="A25" s="164"/>
    </row>
    <row r="26" spans="1:6" ht="15.95" customHeight="1" x14ac:dyDescent="0.3">
      <c r="A26" s="1048" t="s">
        <v>13</v>
      </c>
      <c r="B26" s="1049"/>
      <c r="C26" s="1049"/>
      <c r="D26" s="1049"/>
      <c r="E26" s="1049"/>
      <c r="F26" s="1050"/>
    </row>
    <row r="27" spans="1:6" ht="15.95" customHeight="1" x14ac:dyDescent="0.3">
      <c r="A27" s="1051"/>
      <c r="B27" s="1052"/>
      <c r="C27" s="1052"/>
      <c r="D27" s="1052"/>
      <c r="E27" s="1052"/>
      <c r="F27" s="1053"/>
    </row>
    <row r="28" spans="1:6" ht="49.5" x14ac:dyDescent="0.3">
      <c r="A28" s="24" t="s">
        <v>1</v>
      </c>
      <c r="B28" s="24" t="s">
        <v>673</v>
      </c>
      <c r="C28" s="25" t="s">
        <v>632</v>
      </c>
      <c r="D28" s="25" t="s">
        <v>633</v>
      </c>
      <c r="E28" s="25" t="s">
        <v>634</v>
      </c>
      <c r="F28" s="26" t="s">
        <v>10</v>
      </c>
    </row>
    <row r="29" spans="1:6" x14ac:dyDescent="0.3">
      <c r="A29" s="24"/>
      <c r="B29" s="9"/>
      <c r="C29" s="16"/>
      <c r="D29" s="12"/>
      <c r="E29" s="12"/>
      <c r="F29" s="14"/>
    </row>
    <row r="30" spans="1:6" x14ac:dyDescent="0.3">
      <c r="A30" s="27" t="s">
        <v>24</v>
      </c>
      <c r="B30" s="10" t="s">
        <v>19</v>
      </c>
      <c r="C30" s="119">
        <v>24664.9</v>
      </c>
      <c r="D30" s="397">
        <v>0</v>
      </c>
      <c r="E30" s="118">
        <f>SUM(C30,D30)</f>
        <v>24664.9</v>
      </c>
      <c r="F30" s="117">
        <f>(E30-C30)/C30</f>
        <v>0</v>
      </c>
    </row>
    <row r="31" spans="1:6" x14ac:dyDescent="0.3">
      <c r="A31" s="27"/>
      <c r="B31" s="10"/>
      <c r="C31" s="122"/>
      <c r="D31" s="121"/>
      <c r="E31" s="121"/>
      <c r="F31" s="120"/>
    </row>
    <row r="32" spans="1:6" x14ac:dyDescent="0.3">
      <c r="A32" s="27" t="s">
        <v>18</v>
      </c>
      <c r="B32" s="10" t="s">
        <v>20</v>
      </c>
      <c r="C32" s="119">
        <v>22282.879999999997</v>
      </c>
      <c r="D32" s="397">
        <v>0</v>
      </c>
      <c r="E32" s="118">
        <f t="shared" ref="E32" si="1">SUM(C32,D32)</f>
        <v>22282.879999999997</v>
      </c>
      <c r="F32" s="117">
        <f>(E32-C32)/C32</f>
        <v>0</v>
      </c>
    </row>
    <row r="33" spans="1:6" x14ac:dyDescent="0.3">
      <c r="A33" s="27"/>
      <c r="B33" s="10"/>
      <c r="C33" s="122"/>
      <c r="D33" s="121"/>
      <c r="E33" s="121"/>
      <c r="F33" s="120"/>
    </row>
    <row r="34" spans="1:6" x14ac:dyDescent="0.3">
      <c r="A34" s="27" t="s">
        <v>5</v>
      </c>
      <c r="B34" s="10" t="s">
        <v>21</v>
      </c>
      <c r="C34" s="119">
        <v>14823</v>
      </c>
      <c r="D34" s="397">
        <v>0</v>
      </c>
      <c r="E34" s="118">
        <f>SUM(C34,D34)</f>
        <v>14823</v>
      </c>
      <c r="F34" s="117">
        <f>(E34-C34)/C34</f>
        <v>0</v>
      </c>
    </row>
    <row r="35" spans="1:6" x14ac:dyDescent="0.3">
      <c r="A35" s="27"/>
      <c r="B35" s="10"/>
      <c r="C35" s="122"/>
      <c r="D35" s="121"/>
      <c r="E35" s="118"/>
      <c r="F35" s="120"/>
    </row>
    <row r="36" spans="1:6" x14ac:dyDescent="0.3">
      <c r="A36" s="27" t="s">
        <v>6</v>
      </c>
      <c r="B36" s="10" t="s">
        <v>21</v>
      </c>
      <c r="C36" s="119">
        <v>20164</v>
      </c>
      <c r="D36" s="397">
        <v>0</v>
      </c>
      <c r="E36" s="118">
        <f>SUM(C36,D36)</f>
        <v>20164</v>
      </c>
      <c r="F36" s="117">
        <f>(E36-C36)/C36</f>
        <v>0</v>
      </c>
    </row>
    <row r="37" spans="1:6" x14ac:dyDescent="0.3">
      <c r="A37" s="27"/>
      <c r="B37" s="10"/>
      <c r="C37" s="122"/>
      <c r="D37" s="121"/>
      <c r="E37" s="118"/>
      <c r="F37" s="120"/>
    </row>
    <row r="38" spans="1:6" s="124" customFormat="1" x14ac:dyDescent="0.3">
      <c r="A38" s="27" t="s">
        <v>145</v>
      </c>
      <c r="B38" s="10" t="s">
        <v>241</v>
      </c>
      <c r="C38" s="119">
        <v>20000</v>
      </c>
      <c r="D38" s="397">
        <v>0</v>
      </c>
      <c r="E38" s="118">
        <f>SUM(C38,D38)</f>
        <v>20000</v>
      </c>
      <c r="F38" s="117">
        <f>(E38-C38)/C38</f>
        <v>0</v>
      </c>
    </row>
    <row r="39" spans="1:6" s="124" customFormat="1" x14ac:dyDescent="0.3">
      <c r="A39" s="27"/>
      <c r="B39" s="10"/>
      <c r="C39" s="122"/>
      <c r="D39" s="121"/>
      <c r="E39" s="118"/>
      <c r="F39" s="120"/>
    </row>
    <row r="40" spans="1:6" x14ac:dyDescent="0.3">
      <c r="A40" s="27" t="s">
        <v>8</v>
      </c>
      <c r="B40" s="10" t="s">
        <v>21</v>
      </c>
      <c r="C40" s="119">
        <v>17260</v>
      </c>
      <c r="D40" s="397">
        <v>0</v>
      </c>
      <c r="E40" s="118">
        <f>SUM(C40,D40)</f>
        <v>17260</v>
      </c>
      <c r="F40" s="117">
        <f>(E40-C40)/C40</f>
        <v>0</v>
      </c>
    </row>
    <row r="41" spans="1:6" x14ac:dyDescent="0.3">
      <c r="A41" s="28"/>
      <c r="B41" s="11"/>
      <c r="C41" s="17"/>
      <c r="D41" s="13"/>
      <c r="E41" s="13"/>
      <c r="F41" s="15"/>
    </row>
    <row r="42" spans="1:6" x14ac:dyDescent="0.3">
      <c r="A42" s="22" t="s">
        <v>138</v>
      </c>
    </row>
    <row r="43" spans="1:6" x14ac:dyDescent="0.3">
      <c r="A43" s="22" t="s">
        <v>670</v>
      </c>
    </row>
    <row r="44" spans="1:6" x14ac:dyDescent="0.3">
      <c r="A44" s="22" t="s">
        <v>671</v>
      </c>
    </row>
  </sheetData>
  <mergeCells count="3">
    <mergeCell ref="A26:F27"/>
    <mergeCell ref="A4:F5"/>
    <mergeCell ref="E1:F1"/>
  </mergeCells>
  <printOptions horizontalCentered="1"/>
  <pageMargins left="0.7" right="0.7" top="0.75" bottom="0.75" header="0.3" footer="0.3"/>
  <pageSetup scale="73" orientation="portrait" r:id="rId1"/>
  <headerFooter>
    <oddFooter>&amp;LBLS&amp;CUtah System of Higher Education&amp;RPage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BreakPreview" zoomScaleNormal="100" zoomScaleSheetLayoutView="100" workbookViewId="0"/>
  </sheetViews>
  <sheetFormatPr defaultRowHeight="16.5" x14ac:dyDescent="0.3"/>
  <cols>
    <col min="1" max="1" width="18.85546875" style="124" customWidth="1"/>
    <col min="2" max="2" width="42.85546875" style="124" customWidth="1"/>
    <col min="3" max="3" width="17.7109375" style="126" customWidth="1"/>
    <col min="4" max="4" width="17.85546875" style="127" customWidth="1"/>
    <col min="5" max="5" width="0" style="124" hidden="1" customWidth="1"/>
    <col min="6" max="6" width="10.85546875" style="124" hidden="1" customWidth="1"/>
    <col min="7" max="16384" width="9.140625" style="124"/>
  </cols>
  <sheetData>
    <row r="1" spans="1:6" s="2" customFormat="1" ht="27.75" customHeight="1" thickBot="1" x14ac:dyDescent="0.3">
      <c r="A1" s="4" t="s">
        <v>0</v>
      </c>
      <c r="B1" s="102"/>
      <c r="C1" s="103"/>
      <c r="D1" s="280" t="s">
        <v>151</v>
      </c>
    </row>
    <row r="2" spans="1:6" x14ac:dyDescent="0.3">
      <c r="A2" s="155" t="s">
        <v>878</v>
      </c>
    </row>
    <row r="3" spans="1:6" x14ac:dyDescent="0.3">
      <c r="A3" s="125"/>
    </row>
    <row r="4" spans="1:6" x14ac:dyDescent="0.3">
      <c r="A4" s="1048" t="s">
        <v>879</v>
      </c>
      <c r="B4" s="1049"/>
      <c r="C4" s="1049"/>
      <c r="D4" s="1050"/>
    </row>
    <row r="5" spans="1:6" ht="16.5" customHeight="1" x14ac:dyDescent="0.3">
      <c r="A5" s="1051"/>
      <c r="B5" s="1052"/>
      <c r="C5" s="1052"/>
      <c r="D5" s="1053"/>
      <c r="E5" s="123"/>
    </row>
    <row r="6" spans="1:6" s="34" customFormat="1" ht="8.1" customHeight="1" x14ac:dyDescent="0.3">
      <c r="A6" s="33"/>
      <c r="B6" s="33"/>
      <c r="C6" s="33"/>
      <c r="D6" s="33"/>
    </row>
    <row r="7" spans="1:6" ht="16.5" customHeight="1" x14ac:dyDescent="0.3">
      <c r="A7" s="125" t="s">
        <v>1</v>
      </c>
      <c r="B7" s="125" t="s">
        <v>26</v>
      </c>
      <c r="C7" s="32" t="s">
        <v>37</v>
      </c>
      <c r="D7" s="31" t="s">
        <v>643</v>
      </c>
      <c r="E7" s="123"/>
      <c r="F7" s="123"/>
    </row>
    <row r="8" spans="1:6" ht="8.1" customHeight="1" x14ac:dyDescent="0.3">
      <c r="A8" s="125"/>
      <c r="B8" s="125"/>
      <c r="D8" s="30"/>
      <c r="F8" s="123"/>
    </row>
    <row r="9" spans="1:6" x14ac:dyDescent="0.3">
      <c r="A9" s="125" t="s">
        <v>27</v>
      </c>
      <c r="B9" s="139" t="s">
        <v>162</v>
      </c>
      <c r="C9" s="279">
        <f>+C21+C24+C30+C33+C40+C43+C47+C51+C35</f>
        <v>9288751</v>
      </c>
      <c r="D9" s="157">
        <f>+C9/$C$14</f>
        <v>0.91481881738893722</v>
      </c>
      <c r="F9" s="123"/>
    </row>
    <row r="10" spans="1:6" x14ac:dyDescent="0.3">
      <c r="A10" s="125"/>
      <c r="B10" s="139" t="s">
        <v>234</v>
      </c>
      <c r="C10" s="279">
        <f>+C26+C36+C44</f>
        <v>314900</v>
      </c>
      <c r="D10" s="161">
        <f>+C10/$C$14</f>
        <v>3.1013474857467527E-2</v>
      </c>
    </row>
    <row r="11" spans="1:6" x14ac:dyDescent="0.3">
      <c r="A11" s="125"/>
      <c r="B11" s="139" t="s">
        <v>240</v>
      </c>
      <c r="C11" s="279">
        <f>+C34</f>
        <v>300000</v>
      </c>
      <c r="D11" s="157">
        <f>+C11/$C$14</f>
        <v>2.9546022411051944E-2</v>
      </c>
    </row>
    <row r="12" spans="1:6" x14ac:dyDescent="0.3">
      <c r="B12" s="139" t="s">
        <v>244</v>
      </c>
      <c r="C12" s="279">
        <f>+C25</f>
        <v>136800</v>
      </c>
      <c r="D12" s="157">
        <f>+C12/$C$14</f>
        <v>1.3472986219439688E-2</v>
      </c>
    </row>
    <row r="13" spans="1:6" x14ac:dyDescent="0.3">
      <c r="A13" s="125"/>
      <c r="B13" s="139" t="s">
        <v>243</v>
      </c>
      <c r="C13" s="279">
        <f>+C27+C37+C48</f>
        <v>113200</v>
      </c>
      <c r="D13" s="157">
        <f>+C13/$C$14</f>
        <v>1.1148699123103602E-2</v>
      </c>
    </row>
    <row r="14" spans="1:6" x14ac:dyDescent="0.3">
      <c r="B14" s="140" t="s">
        <v>25</v>
      </c>
      <c r="C14" s="141">
        <f>SUM(C9:C13)</f>
        <v>10153651</v>
      </c>
      <c r="D14" s="142">
        <f>SUM(D9:E13)</f>
        <v>1</v>
      </c>
    </row>
    <row r="15" spans="1:6" x14ac:dyDescent="0.3">
      <c r="F15" s="126"/>
    </row>
    <row r="16" spans="1:6" x14ac:dyDescent="0.3">
      <c r="A16" s="1048" t="s">
        <v>880</v>
      </c>
      <c r="B16" s="1049"/>
      <c r="C16" s="1049"/>
      <c r="D16" s="1050"/>
    </row>
    <row r="17" spans="1:6" x14ac:dyDescent="0.3">
      <c r="A17" s="1051"/>
      <c r="B17" s="1052"/>
      <c r="C17" s="1052"/>
      <c r="D17" s="1053"/>
    </row>
    <row r="18" spans="1:6" s="34" customFormat="1" ht="8.1" customHeight="1" x14ac:dyDescent="0.3">
      <c r="A18" s="33"/>
      <c r="B18" s="33"/>
      <c r="C18" s="33"/>
      <c r="D18" s="33"/>
    </row>
    <row r="19" spans="1:6" x14ac:dyDescent="0.3">
      <c r="A19" s="125" t="s">
        <v>1</v>
      </c>
      <c r="B19" s="125" t="s">
        <v>26</v>
      </c>
      <c r="C19" s="32" t="s">
        <v>37</v>
      </c>
      <c r="D19" s="31" t="s">
        <v>643</v>
      </c>
    </row>
    <row r="20" spans="1:6" ht="8.1" customHeight="1" x14ac:dyDescent="0.3">
      <c r="A20" s="125"/>
    </row>
    <row r="21" spans="1:6" x14ac:dyDescent="0.3">
      <c r="A21" s="128" t="s">
        <v>24</v>
      </c>
      <c r="B21" s="129" t="s">
        <v>148</v>
      </c>
      <c r="C21" s="272">
        <v>4700000</v>
      </c>
      <c r="D21" s="159">
        <f>(C21/$C$22)*$D$22</f>
        <v>1.4999999999999999E-2</v>
      </c>
      <c r="E21" s="124" t="s">
        <v>148</v>
      </c>
      <c r="F21" s="124" t="s">
        <v>148</v>
      </c>
    </row>
    <row r="22" spans="1:6" x14ac:dyDescent="0.3">
      <c r="A22" s="128"/>
      <c r="B22" s="137" t="s">
        <v>881</v>
      </c>
      <c r="C22" s="138">
        <f>SUM(C21:C21)</f>
        <v>4700000</v>
      </c>
      <c r="D22" s="273">
        <v>1.4999999999999999E-2</v>
      </c>
    </row>
    <row r="23" spans="1:6" ht="8.1" customHeight="1" x14ac:dyDescent="0.3">
      <c r="A23" s="125"/>
      <c r="C23" s="156"/>
    </row>
    <row r="24" spans="1:6" ht="16.5" customHeight="1" x14ac:dyDescent="0.3">
      <c r="A24" s="128" t="s">
        <v>18</v>
      </c>
      <c r="B24" s="129" t="s">
        <v>148</v>
      </c>
      <c r="C24" s="272">
        <f>1459100+52500</f>
        <v>1511600</v>
      </c>
      <c r="D24" s="159">
        <f>(C24/$C$28)*$D$28</f>
        <v>1.2756118143459916E-2</v>
      </c>
      <c r="E24" s="124" t="str">
        <f>+E21</f>
        <v>Compensation</v>
      </c>
      <c r="F24" s="124" t="s">
        <v>148</v>
      </c>
    </row>
    <row r="25" spans="1:6" ht="16.5" customHeight="1" x14ac:dyDescent="0.3">
      <c r="A25" s="128"/>
      <c r="B25" s="881" t="s">
        <v>235</v>
      </c>
      <c r="C25" s="882">
        <v>136800</v>
      </c>
      <c r="D25" s="159">
        <f>(C25/$C$28)*$D$28</f>
        <v>1.1544303797468354E-3</v>
      </c>
      <c r="F25" s="124" t="s">
        <v>226</v>
      </c>
    </row>
    <row r="26" spans="1:6" ht="16.5" customHeight="1" x14ac:dyDescent="0.3">
      <c r="A26" s="128"/>
      <c r="B26" s="881" t="s">
        <v>227</v>
      </c>
      <c r="C26" s="882">
        <v>66800</v>
      </c>
      <c r="D26" s="159">
        <f>(C26/$C$28)*$D$28</f>
        <v>5.6371308016877632E-4</v>
      </c>
      <c r="E26" s="124" t="str">
        <f>+E21</f>
        <v>Compensation</v>
      </c>
      <c r="F26" s="124" t="s">
        <v>225</v>
      </c>
    </row>
    <row r="27" spans="1:6" ht="16.5" customHeight="1" x14ac:dyDescent="0.3">
      <c r="A27" s="128"/>
      <c r="B27" s="883" t="s">
        <v>243</v>
      </c>
      <c r="C27" s="884">
        <v>62300</v>
      </c>
      <c r="D27" s="269">
        <f>(C27/$C$28)*$D$28</f>
        <v>5.2573839662447251E-4</v>
      </c>
      <c r="F27" s="124" t="s">
        <v>226</v>
      </c>
    </row>
    <row r="28" spans="1:6" ht="16.5" customHeight="1" x14ac:dyDescent="0.3">
      <c r="A28" s="128"/>
      <c r="B28" s="129" t="s">
        <v>882</v>
      </c>
      <c r="C28" s="130">
        <f>SUM(C24:C27)</f>
        <v>1777500</v>
      </c>
      <c r="D28" s="277">
        <v>1.4999999999999999E-2</v>
      </c>
    </row>
    <row r="29" spans="1:6" ht="8.1" customHeight="1" x14ac:dyDescent="0.3">
      <c r="A29" s="125"/>
      <c r="C29" s="156"/>
    </row>
    <row r="30" spans="1:6" ht="16.5" customHeight="1" x14ac:dyDescent="0.3">
      <c r="A30" s="128" t="s">
        <v>5</v>
      </c>
      <c r="B30" s="129" t="s">
        <v>148</v>
      </c>
      <c r="C30" s="272">
        <v>1104000</v>
      </c>
      <c r="D30" s="131">
        <f>(C30/$C$31)*$D$31</f>
        <v>1.4999999999999999E-2</v>
      </c>
      <c r="E30" s="124" t="e">
        <f>+#REF!</f>
        <v>#REF!</v>
      </c>
      <c r="F30" s="124" t="s">
        <v>148</v>
      </c>
    </row>
    <row r="31" spans="1:6" ht="16.5" customHeight="1" x14ac:dyDescent="0.3">
      <c r="A31" s="128"/>
      <c r="B31" s="137" t="s">
        <v>883</v>
      </c>
      <c r="C31" s="138">
        <f>SUM(C30:C30)</f>
        <v>1104000</v>
      </c>
      <c r="D31" s="273">
        <v>1.4999999999999999E-2</v>
      </c>
    </row>
    <row r="32" spans="1:6" ht="8.1" customHeight="1" x14ac:dyDescent="0.3">
      <c r="A32" s="125"/>
      <c r="B32" s="139"/>
      <c r="C32" s="156"/>
    </row>
    <row r="33" spans="1:6" x14ac:dyDescent="0.3">
      <c r="A33" s="38" t="s">
        <v>6</v>
      </c>
      <c r="B33" s="129" t="s">
        <v>148</v>
      </c>
      <c r="C33" s="272">
        <v>419200</v>
      </c>
      <c r="D33" s="131">
        <f>(C33/$C$38)*$D$38</f>
        <v>6.3502322763078168E-3</v>
      </c>
      <c r="E33" s="124" t="e">
        <f>+#REF!</f>
        <v>#REF!</v>
      </c>
      <c r="F33" s="124" t="s">
        <v>148</v>
      </c>
    </row>
    <row r="34" spans="1:6" x14ac:dyDescent="0.3">
      <c r="A34" s="38"/>
      <c r="B34" s="129" t="s">
        <v>240</v>
      </c>
      <c r="C34" s="272">
        <v>300000</v>
      </c>
      <c r="D34" s="131">
        <f>(C34/$C$38)*$D$38</f>
        <v>4.5445364572813569E-3</v>
      </c>
      <c r="F34" s="124" t="s">
        <v>225</v>
      </c>
    </row>
    <row r="35" spans="1:6" x14ac:dyDescent="0.3">
      <c r="A35" s="38"/>
      <c r="B35" s="129" t="s">
        <v>239</v>
      </c>
      <c r="C35" s="272">
        <v>170000</v>
      </c>
      <c r="D35" s="131">
        <f>(C35/$C$38)*$D$38</f>
        <v>2.5752373257927688E-3</v>
      </c>
      <c r="F35" s="124" t="s">
        <v>147</v>
      </c>
    </row>
    <row r="36" spans="1:6" x14ac:dyDescent="0.3">
      <c r="A36" s="38"/>
      <c r="B36" s="129" t="s">
        <v>227</v>
      </c>
      <c r="C36" s="272">
        <v>78100</v>
      </c>
      <c r="D36" s="131">
        <f>(C36/$C$38)*$D$38</f>
        <v>1.1830943243789133E-3</v>
      </c>
      <c r="F36" s="124" t="s">
        <v>234</v>
      </c>
    </row>
    <row r="37" spans="1:6" x14ac:dyDescent="0.3">
      <c r="A37" s="38"/>
      <c r="B37" s="129" t="s">
        <v>243</v>
      </c>
      <c r="C37" s="272">
        <v>22900</v>
      </c>
      <c r="D37" s="131">
        <f>(C37/$C$38)*$D$38</f>
        <v>3.468996162391436E-4</v>
      </c>
      <c r="E37" s="124" t="e">
        <f>+#REF!</f>
        <v>#REF!</v>
      </c>
      <c r="F37" s="124" t="s">
        <v>226</v>
      </c>
    </row>
    <row r="38" spans="1:6" x14ac:dyDescent="0.3">
      <c r="A38" s="38"/>
      <c r="B38" s="137" t="s">
        <v>884</v>
      </c>
      <c r="C38" s="138">
        <f>SUM(C33:C37)</f>
        <v>990200</v>
      </c>
      <c r="D38" s="273">
        <v>1.4999999999999999E-2</v>
      </c>
    </row>
    <row r="39" spans="1:6" ht="8.1" customHeight="1" x14ac:dyDescent="0.3">
      <c r="A39" s="125"/>
      <c r="B39" s="139"/>
      <c r="C39" s="156"/>
    </row>
    <row r="40" spans="1:6" x14ac:dyDescent="0.3">
      <c r="A40" s="128" t="s">
        <v>233</v>
      </c>
      <c r="B40" s="129" t="s">
        <v>148</v>
      </c>
      <c r="C40" s="272">
        <v>161739</v>
      </c>
      <c r="D40" s="131">
        <f>(C40/$C$41)*$D$41</f>
        <v>1.4999999999999999E-2</v>
      </c>
      <c r="E40" s="139" t="s">
        <v>148</v>
      </c>
    </row>
    <row r="41" spans="1:6" x14ac:dyDescent="0.3">
      <c r="A41" s="128"/>
      <c r="B41" s="132" t="s">
        <v>885</v>
      </c>
      <c r="C41" s="133">
        <f>SUM(C40:C40)</f>
        <v>161739</v>
      </c>
      <c r="D41" s="276">
        <v>1.4999999999999999E-2</v>
      </c>
    </row>
    <row r="42" spans="1:6" ht="8.1" customHeight="1" x14ac:dyDescent="0.3">
      <c r="A42" s="125"/>
      <c r="B42" s="139"/>
      <c r="C42" s="156"/>
    </row>
    <row r="43" spans="1:6" ht="16.5" customHeight="1" x14ac:dyDescent="0.3">
      <c r="A43" s="38" t="s">
        <v>145</v>
      </c>
      <c r="B43" s="274" t="s">
        <v>148</v>
      </c>
      <c r="C43" s="275">
        <v>280000</v>
      </c>
      <c r="D43" s="278">
        <f>(C43/$C$45)*$D$45</f>
        <v>9.3333333333333324E-3</v>
      </c>
      <c r="E43" s="124" t="e">
        <f>+#REF!</f>
        <v>#REF!</v>
      </c>
      <c r="F43" s="124" t="s">
        <v>148</v>
      </c>
    </row>
    <row r="44" spans="1:6" ht="16.5" customHeight="1" x14ac:dyDescent="0.3">
      <c r="A44" s="38"/>
      <c r="B44" s="274" t="s">
        <v>228</v>
      </c>
      <c r="C44" s="272">
        <v>170000</v>
      </c>
      <c r="D44" s="131">
        <f>(C44/$C$45)*$D$45</f>
        <v>5.6666666666666662E-3</v>
      </c>
      <c r="F44" s="124" t="s">
        <v>234</v>
      </c>
    </row>
    <row r="45" spans="1:6" ht="16.5" customHeight="1" x14ac:dyDescent="0.3">
      <c r="A45" s="116"/>
      <c r="B45" s="132" t="s">
        <v>886</v>
      </c>
      <c r="C45" s="133">
        <f>SUM(C43:C44)</f>
        <v>450000</v>
      </c>
      <c r="D45" s="276">
        <v>1.4999999999999999E-2</v>
      </c>
    </row>
    <row r="46" spans="1:6" ht="8.1" customHeight="1" x14ac:dyDescent="0.3">
      <c r="A46" s="125"/>
      <c r="B46" s="139"/>
      <c r="C46" s="156"/>
    </row>
    <row r="47" spans="1:6" x14ac:dyDescent="0.3">
      <c r="A47" s="128" t="s">
        <v>8</v>
      </c>
      <c r="B47" s="129" t="s">
        <v>148</v>
      </c>
      <c r="C47" s="272">
        <v>192212</v>
      </c>
      <c r="D47" s="131">
        <f>(C47/$C$49)*$D$49</f>
        <v>1.3092746989264889E-2</v>
      </c>
      <c r="E47" s="124" t="e">
        <f>+#REF!</f>
        <v>#REF!</v>
      </c>
      <c r="F47" s="124" t="s">
        <v>148</v>
      </c>
    </row>
    <row r="48" spans="1:6" x14ac:dyDescent="0.3">
      <c r="A48" s="128"/>
      <c r="B48" s="129" t="s">
        <v>243</v>
      </c>
      <c r="C48" s="272">
        <v>28000</v>
      </c>
      <c r="D48" s="131">
        <f>(C48/$C$49)*$D$49</f>
        <v>1.9072530107351097E-3</v>
      </c>
      <c r="F48" s="124" t="s">
        <v>226</v>
      </c>
    </row>
    <row r="49" spans="1:7" x14ac:dyDescent="0.3">
      <c r="A49" s="128"/>
      <c r="B49" s="132" t="s">
        <v>887</v>
      </c>
      <c r="C49" s="133">
        <f>SUM(C47:C48)</f>
        <v>220212</v>
      </c>
      <c r="D49" s="276">
        <v>1.4999999999999999E-2</v>
      </c>
    </row>
    <row r="50" spans="1:7" ht="8.1" customHeight="1" x14ac:dyDescent="0.3">
      <c r="A50" s="125"/>
      <c r="B50" s="139"/>
      <c r="C50" s="156"/>
    </row>
    <row r="51" spans="1:7" x14ac:dyDescent="0.3">
      <c r="A51" s="128" t="s">
        <v>9</v>
      </c>
      <c r="B51" s="129" t="s">
        <v>148</v>
      </c>
      <c r="C51" s="272">
        <v>750000</v>
      </c>
      <c r="D51" s="131">
        <f>(C51/$C$52)*$D$52</f>
        <v>1.4999999999999999E-2</v>
      </c>
      <c r="E51" s="124" t="e">
        <f>+E47</f>
        <v>#REF!</v>
      </c>
      <c r="F51" s="124" t="s">
        <v>148</v>
      </c>
    </row>
    <row r="52" spans="1:7" x14ac:dyDescent="0.3">
      <c r="A52" s="38"/>
      <c r="B52" s="115" t="s">
        <v>888</v>
      </c>
      <c r="C52" s="114">
        <f>SUM(C51:C51)</f>
        <v>750000</v>
      </c>
      <c r="D52" s="276">
        <v>1.4999999999999999E-2</v>
      </c>
      <c r="F52" s="126"/>
      <c r="G52" s="126"/>
    </row>
  </sheetData>
  <sortState ref="B59:D64">
    <sortCondition descending="1" ref="C59:C64"/>
  </sortState>
  <mergeCells count="2">
    <mergeCell ref="A4:D5"/>
    <mergeCell ref="A16:D17"/>
  </mergeCells>
  <printOptions horizontalCentered="1"/>
  <pageMargins left="0.7" right="0.7" top="0.75" bottom="0.75" header="0.3" footer="0.3"/>
  <pageSetup scale="73" fitToHeight="2" orientation="portrait" r:id="rId1"/>
  <headerFooter>
    <oddFooter>&amp;LBLS&amp;CUtah System of Higher Education&amp;RPage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1528"/>
  <sheetViews>
    <sheetView view="pageBreakPreview" zoomScaleNormal="100" zoomScaleSheetLayoutView="100" workbookViewId="0"/>
  </sheetViews>
  <sheetFormatPr defaultRowHeight="12.75" x14ac:dyDescent="0.2"/>
  <cols>
    <col min="1" max="1" width="0.85546875" style="41" customWidth="1"/>
    <col min="2" max="2" width="2.28515625" style="40" customWidth="1"/>
    <col min="3" max="3" width="21.7109375" style="40" customWidth="1"/>
    <col min="4" max="6" width="10.28515625" style="40" hidden="1" customWidth="1"/>
    <col min="7" max="7" width="10.85546875" style="40" hidden="1" customWidth="1"/>
    <col min="8" max="8" width="10.28515625" style="40" hidden="1" customWidth="1"/>
    <col min="9" max="9" width="10.42578125" style="40" hidden="1" customWidth="1"/>
    <col min="10" max="11" width="10.85546875" style="40" hidden="1" customWidth="1"/>
    <col min="12" max="12" width="11.42578125" style="40" hidden="1" customWidth="1"/>
    <col min="13" max="13" width="11.5703125" style="40" hidden="1" customWidth="1"/>
    <col min="14" max="14" width="11.42578125" style="40" hidden="1" customWidth="1"/>
    <col min="15" max="15" width="11.28515625" style="40" hidden="1" customWidth="1"/>
    <col min="16" max="16" width="10.28515625" style="40" hidden="1" customWidth="1"/>
    <col min="17" max="17" width="12" style="40" hidden="1" customWidth="1"/>
    <col min="18" max="18" width="11.42578125" style="40" hidden="1" customWidth="1"/>
    <col min="19" max="23" width="9.42578125" style="40" hidden="1" customWidth="1"/>
    <col min="24" max="29" width="9.42578125" style="40" customWidth="1"/>
    <col min="30" max="16384" width="9.140625" style="40"/>
  </cols>
  <sheetData>
    <row r="1" spans="1:31" ht="27.75" customHeight="1" thickBot="1" x14ac:dyDescent="0.35">
      <c r="A1" s="104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52"/>
      <c r="AA1" s="152"/>
      <c r="AB1" s="264"/>
      <c r="AC1" s="152"/>
      <c r="AD1" s="270"/>
      <c r="AE1" s="281" t="s">
        <v>155</v>
      </c>
    </row>
    <row r="2" spans="1:31" s="48" customFormat="1" ht="16.5" customHeight="1" x14ac:dyDescent="0.3">
      <c r="A2" s="59" t="s">
        <v>38</v>
      </c>
      <c r="AC2" s="153"/>
    </row>
    <row r="3" spans="1:31" ht="18" customHeight="1" thickBot="1" x14ac:dyDescent="0.25">
      <c r="AA3" s="150"/>
    </row>
    <row r="4" spans="1:31" s="44" customFormat="1" ht="17.25" hidden="1" thickBot="1" x14ac:dyDescent="0.35">
      <c r="A4" s="42" t="s">
        <v>39</v>
      </c>
      <c r="B4" s="43"/>
      <c r="C4" s="43" t="s">
        <v>18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31" s="47" customFormat="1" ht="16.5" customHeight="1" x14ac:dyDescent="0.3">
      <c r="A5" s="1055" t="s">
        <v>889</v>
      </c>
      <c r="B5" s="1055"/>
      <c r="C5" s="1055"/>
      <c r="D5" s="1055"/>
      <c r="E5" s="1055"/>
      <c r="F5" s="1055"/>
      <c r="G5" s="1055"/>
      <c r="H5" s="1055"/>
      <c r="I5" s="1055"/>
      <c r="J5" s="1055"/>
      <c r="K5" s="1055"/>
      <c r="L5" s="1055"/>
      <c r="M5" s="1055"/>
      <c r="N5" s="1055"/>
      <c r="O5" s="1055"/>
      <c r="P5" s="1055"/>
      <c r="Q5" s="1055"/>
      <c r="R5" s="1055"/>
      <c r="S5" s="1055"/>
      <c r="T5" s="1055"/>
      <c r="U5" s="1055"/>
      <c r="V5" s="1055"/>
      <c r="W5" s="1055"/>
      <c r="X5" s="1055"/>
      <c r="Y5" s="1055"/>
      <c r="Z5" s="1055"/>
      <c r="AA5" s="1055"/>
      <c r="AB5" s="1055"/>
      <c r="AC5" s="1055"/>
      <c r="AD5" s="1055"/>
      <c r="AE5" s="1055"/>
    </row>
    <row r="6" spans="1:31" s="48" customFormat="1" ht="6" customHeight="1" x14ac:dyDescent="0.3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</row>
    <row r="7" spans="1:31" s="52" customFormat="1" ht="33" customHeight="1" x14ac:dyDescent="0.3">
      <c r="A7" s="49"/>
      <c r="B7" s="49"/>
      <c r="C7" s="49"/>
      <c r="D7" s="50" t="s">
        <v>40</v>
      </c>
      <c r="E7" s="50" t="s">
        <v>41</v>
      </c>
      <c r="F7" s="50" t="s">
        <v>42</v>
      </c>
      <c r="G7" s="50" t="s">
        <v>43</v>
      </c>
      <c r="H7" s="50" t="s">
        <v>44</v>
      </c>
      <c r="I7" s="50" t="s">
        <v>45</v>
      </c>
      <c r="J7" s="50" t="s">
        <v>46</v>
      </c>
      <c r="K7" s="50" t="s">
        <v>47</v>
      </c>
      <c r="L7" s="50" t="s">
        <v>48</v>
      </c>
      <c r="M7" s="50" t="s">
        <v>49</v>
      </c>
      <c r="N7" s="50" t="s">
        <v>50</v>
      </c>
      <c r="O7" s="50" t="s">
        <v>51</v>
      </c>
      <c r="P7" s="98" t="s">
        <v>95</v>
      </c>
      <c r="Q7" s="98" t="s">
        <v>96</v>
      </c>
      <c r="R7" s="98" t="s">
        <v>97</v>
      </c>
      <c r="S7" s="98" t="s">
        <v>98</v>
      </c>
      <c r="T7" s="99" t="s">
        <v>99</v>
      </c>
      <c r="U7" s="98" t="s">
        <v>100</v>
      </c>
      <c r="V7" s="98" t="s">
        <v>101</v>
      </c>
      <c r="W7" s="98" t="s">
        <v>102</v>
      </c>
      <c r="X7" s="98" t="s">
        <v>103</v>
      </c>
      <c r="Y7" s="98" t="s">
        <v>104</v>
      </c>
      <c r="Z7" s="98" t="s">
        <v>146</v>
      </c>
      <c r="AA7" s="98" t="s">
        <v>154</v>
      </c>
      <c r="AB7" s="98" t="s">
        <v>158</v>
      </c>
      <c r="AC7" s="98" t="s">
        <v>224</v>
      </c>
      <c r="AD7" s="98" t="s">
        <v>229</v>
      </c>
      <c r="AE7" s="98" t="s">
        <v>236</v>
      </c>
    </row>
    <row r="8" spans="1:31" s="54" customFormat="1" ht="16.5" x14ac:dyDescent="0.3">
      <c r="A8" s="53"/>
      <c r="B8" s="53"/>
      <c r="C8" s="53" t="s">
        <v>231</v>
      </c>
      <c r="D8" s="53">
        <v>129.9</v>
      </c>
      <c r="E8" s="53">
        <v>136</v>
      </c>
      <c r="F8" s="53">
        <v>140.19999999999999</v>
      </c>
      <c r="G8" s="53" t="e">
        <f>+#REF!</f>
        <v>#REF!</v>
      </c>
      <c r="H8" s="53">
        <v>148</v>
      </c>
      <c r="I8" s="53">
        <v>152.5</v>
      </c>
      <c r="J8" s="53">
        <v>156.69999999999999</v>
      </c>
      <c r="K8" s="53">
        <v>160.30000000000001</v>
      </c>
      <c r="L8" s="53">
        <v>163</v>
      </c>
      <c r="M8" s="53">
        <v>166.2</v>
      </c>
      <c r="N8" s="53">
        <v>172.4</v>
      </c>
      <c r="O8" s="53">
        <v>178</v>
      </c>
      <c r="P8" s="53">
        <v>179.9</v>
      </c>
      <c r="Q8" s="53">
        <v>183.7</v>
      </c>
      <c r="R8" s="53">
        <v>189.7</v>
      </c>
      <c r="S8" s="53">
        <v>194.5</v>
      </c>
      <c r="T8" s="53">
        <v>202.9</v>
      </c>
      <c r="U8" s="53">
        <v>208.352</v>
      </c>
      <c r="V8" s="53">
        <v>214.7</v>
      </c>
      <c r="W8" s="53">
        <v>216.7</v>
      </c>
      <c r="X8" s="53">
        <v>221.1</v>
      </c>
      <c r="Y8" s="53">
        <v>227.6</v>
      </c>
      <c r="Z8" s="53">
        <v>231.4</v>
      </c>
      <c r="AA8" s="53">
        <v>235</v>
      </c>
      <c r="AB8" s="53">
        <v>236.7</v>
      </c>
      <c r="AC8" s="53">
        <v>238.3</v>
      </c>
      <c r="AD8" s="53">
        <v>242.7</v>
      </c>
      <c r="AE8" s="53">
        <v>248.1</v>
      </c>
    </row>
    <row r="9" spans="1:31" s="54" customFormat="1" ht="6" customHeight="1" x14ac:dyDescent="0.3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</row>
    <row r="10" spans="1:31" s="48" customFormat="1" ht="18" customHeight="1" x14ac:dyDescent="0.3">
      <c r="A10" s="47"/>
      <c r="B10" s="59" t="s">
        <v>230</v>
      </c>
      <c r="C10" s="47"/>
      <c r="D10" s="55" t="e">
        <f>+(#REF!-D8)/D8</f>
        <v>#REF!</v>
      </c>
      <c r="E10" s="55" t="e">
        <f>+(#REF!-E8)/E8</f>
        <v>#REF!</v>
      </c>
      <c r="F10" s="55" t="e">
        <f>+(#REF!-F8)/F8</f>
        <v>#REF!</v>
      </c>
      <c r="G10" s="55" t="e">
        <f>+(#REF!-G8)/G8</f>
        <v>#REF!</v>
      </c>
      <c r="H10" s="55" t="e">
        <f>+(#REF!-H8)/H8</f>
        <v>#REF!</v>
      </c>
      <c r="I10" s="55" t="e">
        <f>+(#REF!-I8)/I8</f>
        <v>#REF!</v>
      </c>
      <c r="J10" s="55" t="e">
        <f>+(#REF!-J8)/J8</f>
        <v>#REF!</v>
      </c>
      <c r="K10" s="55" t="e">
        <f>+(#REF!-K8)/K8</f>
        <v>#REF!</v>
      </c>
      <c r="L10" s="55" t="e">
        <f>+(#REF!-L8)/L8</f>
        <v>#REF!</v>
      </c>
      <c r="M10" s="55" t="e">
        <f>+(#REF!-M8)/M8</f>
        <v>#REF!</v>
      </c>
      <c r="N10" s="55" t="e">
        <f>+(#REF!-N8)/N8</f>
        <v>#REF!</v>
      </c>
      <c r="O10" s="55" t="e">
        <f>+(#REF!-O8)/O8</f>
        <v>#REF!</v>
      </c>
      <c r="P10" s="55" t="e">
        <f>+(#REF!-P8)/P8</f>
        <v>#REF!</v>
      </c>
      <c r="Q10" s="55" t="e">
        <f>+(#REF!-Q8)/Q8</f>
        <v>#REF!</v>
      </c>
      <c r="R10" s="55" t="e">
        <f>+(#REF!-R8)/R8</f>
        <v>#REF!</v>
      </c>
      <c r="S10" s="55" t="e">
        <f>+(#REF!-S8)/S8</f>
        <v>#REF!</v>
      </c>
      <c r="T10" s="55" t="e">
        <f>+(#REF!-T8)/T8</f>
        <v>#REF!</v>
      </c>
      <c r="U10" s="55" t="e">
        <f>+(#REF!-U8)/U8</f>
        <v>#REF!</v>
      </c>
      <c r="V10" s="55">
        <v>1.4E-2</v>
      </c>
      <c r="W10" s="55">
        <v>0.01</v>
      </c>
      <c r="X10" s="55">
        <v>0.02</v>
      </c>
      <c r="Y10" s="55">
        <v>2.9000000000000001E-2</v>
      </c>
      <c r="Z10" s="55">
        <v>1.7000000000000001E-2</v>
      </c>
      <c r="AA10" s="55">
        <v>1.6E-2</v>
      </c>
      <c r="AB10" s="55">
        <v>7.0000000000000001E-3</v>
      </c>
      <c r="AC10" s="55">
        <v>7.0000000000000001E-3</v>
      </c>
      <c r="AD10" s="55">
        <v>1.7999999999999999E-2</v>
      </c>
      <c r="AE10" s="55">
        <v>2.3E-2</v>
      </c>
    </row>
    <row r="11" spans="1:31" s="48" customFormat="1" ht="18" customHeight="1" x14ac:dyDescent="0.3">
      <c r="A11" s="47"/>
      <c r="B11" s="59" t="s">
        <v>52</v>
      </c>
      <c r="C11" s="59"/>
      <c r="D11" s="47"/>
      <c r="E11" s="47"/>
      <c r="F11" s="47"/>
      <c r="G11" s="47"/>
      <c r="H11" s="47"/>
      <c r="I11" s="47"/>
      <c r="J11" s="47"/>
      <c r="K11" s="47"/>
      <c r="L11" s="56"/>
      <c r="M11" s="55"/>
      <c r="N11" s="55"/>
      <c r="O11" s="55"/>
      <c r="P11" s="47"/>
      <c r="Q11" s="55"/>
      <c r="R11" s="55"/>
      <c r="S11" s="55"/>
      <c r="T11" s="55"/>
      <c r="U11" s="55"/>
      <c r="V11" s="55"/>
      <c r="W11" s="55"/>
      <c r="X11" s="55"/>
      <c r="Y11" s="55"/>
      <c r="Z11" s="55"/>
      <c r="AD11" s="55"/>
      <c r="AE11" s="55">
        <v>1.9E-2</v>
      </c>
    </row>
    <row r="12" spans="1:31" s="48" customFormat="1" ht="6" customHeight="1" x14ac:dyDescent="0.3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55"/>
      <c r="N12" s="55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</row>
    <row r="13" spans="1:31" s="48" customFormat="1" ht="15" customHeight="1" x14ac:dyDescent="0.3">
      <c r="A13" s="57" t="s">
        <v>161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</row>
    <row r="14" spans="1:31" s="48" customFormat="1" ht="17.25" thickBot="1" x14ac:dyDescent="0.35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</row>
    <row r="15" spans="1:31" s="44" customFormat="1" ht="17.25" hidden="1" thickBot="1" x14ac:dyDescent="0.35">
      <c r="A15" s="42" t="s">
        <v>53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</row>
    <row r="16" spans="1:31" s="47" customFormat="1" ht="18.75" x14ac:dyDescent="0.3">
      <c r="A16" s="1055" t="s">
        <v>890</v>
      </c>
      <c r="B16" s="1055"/>
      <c r="C16" s="1055"/>
      <c r="D16" s="1055"/>
      <c r="E16" s="1055"/>
      <c r="F16" s="1055"/>
      <c r="G16" s="1055"/>
      <c r="H16" s="1055"/>
      <c r="I16" s="1055"/>
      <c r="J16" s="1055"/>
      <c r="K16" s="1055"/>
      <c r="L16" s="1055"/>
      <c r="M16" s="1055"/>
      <c r="N16" s="1055"/>
      <c r="O16" s="1055"/>
      <c r="P16" s="1055"/>
      <c r="Q16" s="1055"/>
      <c r="R16" s="1055"/>
      <c r="S16" s="1055"/>
      <c r="T16" s="1055"/>
      <c r="U16" s="1055"/>
      <c r="V16" s="1055"/>
      <c r="W16" s="1055"/>
      <c r="X16" s="1055"/>
      <c r="Y16" s="1055"/>
      <c r="Z16" s="1055"/>
      <c r="AA16" s="1055"/>
      <c r="AB16" s="1055"/>
      <c r="AC16" s="1055"/>
      <c r="AD16" s="1055"/>
      <c r="AE16" s="1055"/>
    </row>
    <row r="17" spans="1:31" s="48" customFormat="1" ht="6" customHeight="1" x14ac:dyDescent="0.3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</row>
    <row r="18" spans="1:31" s="52" customFormat="1" ht="33" customHeight="1" x14ac:dyDescent="0.3">
      <c r="A18" s="49"/>
      <c r="B18" s="49"/>
      <c r="C18" s="49"/>
      <c r="D18" s="50" t="s">
        <v>54</v>
      </c>
      <c r="E18" s="50" t="s">
        <v>55</v>
      </c>
      <c r="F18" s="50" t="s">
        <v>42</v>
      </c>
      <c r="G18" s="50" t="s">
        <v>43</v>
      </c>
      <c r="H18" s="50" t="s">
        <v>44</v>
      </c>
      <c r="I18" s="50" t="s">
        <v>45</v>
      </c>
      <c r="J18" s="50" t="s">
        <v>46</v>
      </c>
      <c r="K18" s="50" t="s">
        <v>47</v>
      </c>
      <c r="L18" s="50" t="s">
        <v>48</v>
      </c>
      <c r="M18" s="50" t="s">
        <v>49</v>
      </c>
      <c r="N18" s="50" t="s">
        <v>50</v>
      </c>
      <c r="O18" s="50" t="s">
        <v>51</v>
      </c>
      <c r="P18" s="98" t="s">
        <v>95</v>
      </c>
      <c r="Q18" s="98" t="s">
        <v>96</v>
      </c>
      <c r="R18" s="98" t="s">
        <v>97</v>
      </c>
      <c r="S18" s="98" t="s">
        <v>98</v>
      </c>
      <c r="T18" s="99" t="s">
        <v>99</v>
      </c>
      <c r="U18" s="98" t="s">
        <v>100</v>
      </c>
      <c r="V18" s="98" t="s">
        <v>101</v>
      </c>
      <c r="W18" s="98" t="s">
        <v>102</v>
      </c>
      <c r="X18" s="98" t="s">
        <v>103</v>
      </c>
      <c r="Y18" s="98" t="s">
        <v>104</v>
      </c>
      <c r="Z18" s="98" t="s">
        <v>146</v>
      </c>
      <c r="AA18" s="98" t="s">
        <v>154</v>
      </c>
      <c r="AB18" s="98" t="s">
        <v>158</v>
      </c>
      <c r="AC18" s="98" t="s">
        <v>224</v>
      </c>
      <c r="AD18" s="98" t="s">
        <v>229</v>
      </c>
      <c r="AE18" s="98" t="s">
        <v>236</v>
      </c>
    </row>
    <row r="19" spans="1:31" s="54" customFormat="1" ht="16.5" x14ac:dyDescent="0.3">
      <c r="A19" s="53"/>
      <c r="B19" s="53"/>
      <c r="C19" s="53" t="s">
        <v>231</v>
      </c>
      <c r="D19" s="53">
        <v>140.80000000000001</v>
      </c>
      <c r="E19" s="53" t="e">
        <f>+#REF!</f>
        <v>#REF!</v>
      </c>
      <c r="F19" s="53" t="e">
        <f>+#REF!</f>
        <v>#REF!</v>
      </c>
      <c r="G19" s="53" t="e">
        <f>+#REF!</f>
        <v>#REF!</v>
      </c>
      <c r="H19" s="53" t="e">
        <f>+#REF!</f>
        <v>#REF!</v>
      </c>
      <c r="I19" s="53" t="e">
        <f>+#REF!</f>
        <v>#REF!</v>
      </c>
      <c r="J19" s="53" t="e">
        <f>+#REF!</f>
        <v>#REF!</v>
      </c>
      <c r="K19" s="53" t="e">
        <f>+#REF!</f>
        <v>#REF!</v>
      </c>
      <c r="L19" s="53" t="e">
        <f>+#REF!</f>
        <v>#REF!</v>
      </c>
      <c r="M19" s="53" t="e">
        <f>+#REF!</f>
        <v>#REF!</v>
      </c>
      <c r="N19" s="53" t="e">
        <f>+#REF!</f>
        <v>#REF!</v>
      </c>
      <c r="O19" s="53" t="e">
        <f>+#REF!</f>
        <v>#REF!</v>
      </c>
      <c r="P19" s="53">
        <v>212.7</v>
      </c>
      <c r="Q19" s="53">
        <v>223.5</v>
      </c>
      <c r="R19" s="53">
        <v>231.7</v>
      </c>
      <c r="S19" s="53">
        <v>240.8</v>
      </c>
      <c r="T19" s="53">
        <v>253.1</v>
      </c>
      <c r="U19" s="53">
        <v>260.3</v>
      </c>
      <c r="V19" s="53">
        <v>279.3</v>
      </c>
      <c r="W19" s="53">
        <v>281.8</v>
      </c>
      <c r="X19" s="53">
        <v>288.39999999999998</v>
      </c>
      <c r="Y19" s="53">
        <v>293.2</v>
      </c>
      <c r="Z19" s="53">
        <v>297.8</v>
      </c>
      <c r="AA19" s="53">
        <v>306.7</v>
      </c>
      <c r="AB19" s="53">
        <v>313.3</v>
      </c>
      <c r="AC19" s="53">
        <v>319</v>
      </c>
      <c r="AD19" s="53">
        <v>329.5</v>
      </c>
      <c r="AE19" s="53">
        <v>338.6</v>
      </c>
    </row>
    <row r="20" spans="1:31" s="54" customFormat="1" ht="6" customHeight="1" x14ac:dyDescent="0.3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</row>
    <row r="21" spans="1:31" s="48" customFormat="1" ht="18" customHeight="1" x14ac:dyDescent="0.3">
      <c r="A21" s="47"/>
      <c r="B21" s="59" t="s">
        <v>230</v>
      </c>
      <c r="C21" s="47"/>
      <c r="D21" s="55" t="e">
        <f>+(#REF!-D19)/D19</f>
        <v>#REF!</v>
      </c>
      <c r="E21" s="55" t="e">
        <f>+(#REF!-E19)/E19</f>
        <v>#REF!</v>
      </c>
      <c r="F21" s="55" t="e">
        <f>+(#REF!-F19)/F19</f>
        <v>#REF!</v>
      </c>
      <c r="G21" s="55" t="e">
        <f>+(#REF!-G19)/G19</f>
        <v>#REF!</v>
      </c>
      <c r="H21" s="55" t="e">
        <f>+(#REF!-H19)/H19</f>
        <v>#REF!</v>
      </c>
      <c r="I21" s="55" t="e">
        <f>+(#REF!-I19)/I19</f>
        <v>#REF!</v>
      </c>
      <c r="J21" s="55">
        <v>3.2000000000000001E-2</v>
      </c>
      <c r="K21" s="55">
        <v>3.5000000000000003E-2</v>
      </c>
      <c r="L21" s="55" t="e">
        <f>(#REF!-L19)/L19</f>
        <v>#REF!</v>
      </c>
      <c r="M21" s="55" t="e">
        <f>(#REF!-M19)/M19</f>
        <v>#REF!</v>
      </c>
      <c r="N21" s="55" t="e">
        <f>(#REF!-N19)/N19</f>
        <v>#REF!</v>
      </c>
      <c r="O21" s="55" t="e">
        <f>(#REF!-O19)/O19</f>
        <v>#REF!</v>
      </c>
      <c r="P21" s="55" t="e">
        <f>(#REF!-P19)/P19</f>
        <v>#REF!</v>
      </c>
      <c r="Q21" s="55" t="e">
        <f>(#REF!-Q19)/Q19</f>
        <v>#REF!</v>
      </c>
      <c r="R21" s="55" t="e">
        <f>(#REF!-R19)/R19</f>
        <v>#REF!</v>
      </c>
      <c r="S21" s="55" t="e">
        <f>(#REF!-S19)/S19</f>
        <v>#REF!</v>
      </c>
      <c r="T21" s="55" t="e">
        <f>(#REF!-T19)/T19</f>
        <v>#REF!</v>
      </c>
      <c r="U21" s="55" t="e">
        <f>(#REF!-U19)/U19</f>
        <v>#REF!</v>
      </c>
      <c r="V21" s="55">
        <v>2.3E-2</v>
      </c>
      <c r="W21" s="55">
        <v>8.9999999999999993E-3</v>
      </c>
      <c r="X21" s="55">
        <v>2.3E-2</v>
      </c>
      <c r="Y21" s="55">
        <v>1.7000000000000001E-2</v>
      </c>
      <c r="Z21" s="55">
        <v>1.6E-2</v>
      </c>
      <c r="AA21" s="55">
        <v>0.03</v>
      </c>
      <c r="AB21" s="55">
        <v>2.1000000000000001E-2</v>
      </c>
      <c r="AC21" s="55">
        <v>1.7999999999999999E-2</v>
      </c>
      <c r="AD21" s="55">
        <v>3.3000000000000002E-2</v>
      </c>
      <c r="AE21" s="55">
        <v>2.8000000000000001E-2</v>
      </c>
    </row>
    <row r="22" spans="1:31" s="48" customFormat="1" ht="6" customHeight="1" x14ac:dyDescent="0.3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55"/>
      <c r="N22" s="55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</row>
    <row r="23" spans="1:31" s="48" customFormat="1" ht="16.5" hidden="1" x14ac:dyDescent="0.3">
      <c r="A23" s="163" t="s">
        <v>163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53" t="e">
        <f t="shared" ref="L23:Q23" si="0">AVERAGE(L19:L19)</f>
        <v>#REF!</v>
      </c>
      <c r="M23" s="53" t="e">
        <f t="shared" si="0"/>
        <v>#REF!</v>
      </c>
      <c r="N23" s="53" t="e">
        <f t="shared" si="0"/>
        <v>#REF!</v>
      </c>
      <c r="O23" s="53" t="e">
        <f t="shared" si="0"/>
        <v>#REF!</v>
      </c>
      <c r="P23" s="53">
        <f t="shared" si="0"/>
        <v>212.7</v>
      </c>
      <c r="Q23" s="53">
        <f t="shared" si="0"/>
        <v>223.5</v>
      </c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</row>
    <row r="24" spans="1:31" s="48" customFormat="1" ht="16.5" x14ac:dyDescent="0.3">
      <c r="A24" s="57" t="s">
        <v>159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V24" s="47"/>
      <c r="W24" s="47"/>
      <c r="X24" s="47"/>
      <c r="Y24" s="47"/>
      <c r="Z24" s="47"/>
      <c r="AA24" s="47"/>
      <c r="AB24" s="47"/>
    </row>
    <row r="25" spans="1:31" s="44" customFormat="1" ht="16.5" hidden="1" x14ac:dyDescent="0.3">
      <c r="A25" s="42" t="s">
        <v>56</v>
      </c>
    </row>
    <row r="26" spans="1:31" s="48" customFormat="1" ht="18.75" hidden="1" x14ac:dyDescent="0.3">
      <c r="A26" s="45" t="s">
        <v>57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7"/>
    </row>
    <row r="27" spans="1:31" s="48" customFormat="1" ht="6" hidden="1" customHeight="1" x14ac:dyDescent="0.3">
      <c r="A27" s="59"/>
      <c r="B27" s="60"/>
    </row>
    <row r="28" spans="1:31" s="48" customFormat="1" ht="17.100000000000001" hidden="1" customHeight="1" x14ac:dyDescent="0.3">
      <c r="A28" s="47"/>
      <c r="B28" s="48" t="s">
        <v>58</v>
      </c>
      <c r="D28" s="61"/>
      <c r="E28" s="61"/>
      <c r="L28" s="62"/>
      <c r="M28" s="62"/>
      <c r="N28" s="63"/>
      <c r="O28" s="62"/>
      <c r="P28" s="62"/>
      <c r="Q28" s="64" t="s">
        <v>59</v>
      </c>
      <c r="R28" s="62"/>
      <c r="S28" s="62"/>
      <c r="U28" s="63"/>
      <c r="V28" s="63"/>
      <c r="W28" s="63"/>
      <c r="X28" s="63"/>
      <c r="Y28" s="63"/>
      <c r="Z28" s="63"/>
      <c r="AA28" s="63"/>
      <c r="AB28" s="63"/>
      <c r="AC28" s="63"/>
    </row>
    <row r="29" spans="1:31" s="48" customFormat="1" ht="17.100000000000001" hidden="1" customHeight="1" x14ac:dyDescent="0.3">
      <c r="A29" s="47"/>
      <c r="B29" s="48" t="s">
        <v>60</v>
      </c>
      <c r="D29" s="52"/>
      <c r="E29" s="52"/>
      <c r="L29" s="62"/>
      <c r="M29" s="62"/>
      <c r="N29" s="65"/>
      <c r="O29" s="62"/>
      <c r="P29" s="62"/>
      <c r="Q29" s="66">
        <v>661290000</v>
      </c>
      <c r="R29" s="62"/>
      <c r="S29" s="62"/>
      <c r="U29" s="63"/>
      <c r="V29" s="63"/>
      <c r="W29" s="63"/>
      <c r="X29" s="63"/>
      <c r="Y29" s="63"/>
      <c r="Z29" s="63"/>
      <c r="AA29" s="63"/>
      <c r="AB29" s="63"/>
      <c r="AC29" s="63"/>
    </row>
    <row r="30" spans="1:31" s="48" customFormat="1" ht="17.100000000000001" hidden="1" customHeight="1" x14ac:dyDescent="0.3">
      <c r="A30" s="47"/>
      <c r="B30" s="48" t="s">
        <v>61</v>
      </c>
      <c r="D30" s="52"/>
      <c r="E30" s="52"/>
      <c r="L30" s="62"/>
      <c r="M30" s="62"/>
      <c r="N30" s="65"/>
      <c r="O30" s="62"/>
      <c r="P30" s="62"/>
      <c r="Q30" s="66">
        <v>682638600</v>
      </c>
      <c r="R30" s="62"/>
      <c r="S30" s="62"/>
      <c r="U30" s="63"/>
      <c r="V30" s="63"/>
      <c r="W30" s="63"/>
      <c r="X30" s="63"/>
      <c r="Y30" s="63"/>
      <c r="Z30" s="63"/>
      <c r="AA30" s="63"/>
      <c r="AB30" s="63"/>
      <c r="AC30" s="63"/>
    </row>
    <row r="31" spans="1:31" s="48" customFormat="1" ht="17.100000000000001" hidden="1" customHeight="1" x14ac:dyDescent="0.3">
      <c r="A31" s="47"/>
      <c r="D31" s="52"/>
      <c r="E31" s="52"/>
      <c r="L31" s="62"/>
      <c r="M31" s="62"/>
      <c r="N31" s="65"/>
      <c r="O31" s="62"/>
      <c r="P31" s="62"/>
      <c r="Q31" s="66"/>
      <c r="R31" s="62"/>
      <c r="S31" s="62"/>
      <c r="U31" s="63"/>
      <c r="V31" s="63"/>
      <c r="W31" s="63"/>
      <c r="X31" s="63"/>
      <c r="Y31" s="63"/>
      <c r="Z31" s="63"/>
      <c r="AA31" s="63"/>
      <c r="AB31" s="63"/>
      <c r="AC31" s="63"/>
    </row>
    <row r="32" spans="1:31" s="48" customFormat="1" ht="17.100000000000001" hidden="1" customHeight="1" x14ac:dyDescent="0.3">
      <c r="A32" s="47"/>
      <c r="B32" s="48" t="s">
        <v>62</v>
      </c>
      <c r="D32" s="52"/>
      <c r="E32" s="52"/>
      <c r="L32" s="62"/>
      <c r="M32" s="62"/>
      <c r="N32" s="67"/>
      <c r="O32" s="67"/>
      <c r="P32" s="67"/>
      <c r="Q32" s="67">
        <f>Q30-Q29</f>
        <v>21348600</v>
      </c>
      <c r="R32" s="62"/>
      <c r="S32" s="62"/>
      <c r="U32" s="63"/>
      <c r="V32" s="63"/>
      <c r="W32" s="63"/>
      <c r="X32" s="63"/>
      <c r="Y32" s="63"/>
      <c r="Z32" s="63"/>
      <c r="AA32" s="63"/>
      <c r="AB32" s="63"/>
      <c r="AC32" s="63"/>
    </row>
    <row r="33" spans="1:31" s="48" customFormat="1" ht="17.100000000000001" hidden="1" customHeight="1" x14ac:dyDescent="0.3">
      <c r="A33" s="47"/>
      <c r="B33" s="48" t="s">
        <v>63</v>
      </c>
      <c r="C33" s="48">
        <v>381000</v>
      </c>
      <c r="D33" s="52"/>
      <c r="E33" s="52"/>
      <c r="L33" s="62"/>
      <c r="M33" s="62"/>
      <c r="N33" s="68"/>
      <c r="O33" s="68"/>
      <c r="P33" s="68"/>
      <c r="Q33" s="68">
        <f>Q32/Q29</f>
        <v>3.2283264528421722E-2</v>
      </c>
      <c r="R33" s="62"/>
      <c r="S33" s="62"/>
      <c r="U33" s="63"/>
      <c r="V33" s="63"/>
      <c r="W33" s="63"/>
      <c r="X33" s="63"/>
      <c r="Y33" s="63"/>
      <c r="Z33" s="63"/>
      <c r="AA33" s="63"/>
      <c r="AB33" s="63"/>
      <c r="AC33" s="63"/>
    </row>
    <row r="34" spans="1:31" s="48" customFormat="1" ht="17.100000000000001" hidden="1" customHeight="1" x14ac:dyDescent="0.3">
      <c r="A34" s="47"/>
      <c r="D34" s="52"/>
      <c r="E34" s="52"/>
      <c r="L34" s="62"/>
      <c r="M34" s="62"/>
      <c r="N34" s="58"/>
      <c r="O34" s="62"/>
      <c r="P34" s="62"/>
      <c r="Q34" s="69"/>
      <c r="R34" s="62"/>
      <c r="S34" s="62"/>
      <c r="U34" s="63"/>
      <c r="V34" s="63"/>
      <c r="W34" s="63"/>
      <c r="X34" s="63"/>
      <c r="Y34" s="63"/>
      <c r="Z34" s="63"/>
      <c r="AA34" s="63"/>
      <c r="AB34" s="63"/>
      <c r="AC34" s="63"/>
    </row>
    <row r="35" spans="1:31" s="48" customFormat="1" ht="17.100000000000001" hidden="1" customHeight="1" x14ac:dyDescent="0.3">
      <c r="A35" s="47"/>
      <c r="B35" s="48" t="s">
        <v>64</v>
      </c>
      <c r="D35" s="52"/>
      <c r="E35" s="52"/>
      <c r="L35" s="62"/>
      <c r="M35" s="62"/>
      <c r="N35" s="65"/>
      <c r="O35" s="62"/>
      <c r="P35" s="62"/>
      <c r="Q35" s="66">
        <v>58239230</v>
      </c>
      <c r="R35" s="62"/>
      <c r="S35" s="62"/>
      <c r="U35" s="65"/>
      <c r="V35" s="65"/>
      <c r="W35" s="63"/>
      <c r="X35" s="63"/>
      <c r="Y35" s="63"/>
      <c r="Z35" s="63"/>
      <c r="AA35" s="63"/>
      <c r="AB35" s="63"/>
      <c r="AC35" s="63"/>
    </row>
    <row r="36" spans="1:31" s="48" customFormat="1" ht="6" hidden="1" customHeight="1" x14ac:dyDescent="0.3">
      <c r="A36" s="47"/>
      <c r="D36" s="52"/>
      <c r="E36" s="52"/>
      <c r="L36" s="62"/>
      <c r="M36" s="62"/>
      <c r="N36" s="58"/>
      <c r="O36" s="62"/>
      <c r="P36" s="62"/>
      <c r="Q36" s="69"/>
      <c r="R36" s="62"/>
      <c r="S36" s="62"/>
      <c r="U36" s="63"/>
      <c r="V36" s="63"/>
      <c r="W36" s="63"/>
      <c r="X36" s="63"/>
      <c r="Y36" s="63"/>
      <c r="Z36" s="63"/>
      <c r="AA36" s="63"/>
      <c r="AB36" s="63"/>
      <c r="AC36" s="63"/>
    </row>
    <row r="37" spans="1:31" s="48" customFormat="1" ht="18" hidden="1" customHeight="1" x14ac:dyDescent="0.3">
      <c r="A37" s="47"/>
      <c r="B37" s="48" t="s">
        <v>65</v>
      </c>
      <c r="D37" s="70"/>
      <c r="E37" s="70"/>
      <c r="L37" s="62"/>
      <c r="M37" s="62"/>
      <c r="N37" s="71"/>
      <c r="O37" s="71"/>
      <c r="P37" s="71"/>
      <c r="Q37" s="71">
        <f>Q35*0.01</f>
        <v>582392.30000000005</v>
      </c>
      <c r="R37" s="62"/>
      <c r="S37" s="62"/>
      <c r="U37" s="72"/>
      <c r="V37" s="72"/>
      <c r="W37" s="72"/>
      <c r="X37" s="72"/>
      <c r="Y37" s="72"/>
      <c r="Z37" s="72"/>
      <c r="AA37" s="72"/>
      <c r="AB37" s="72"/>
      <c r="AC37" s="72"/>
    </row>
    <row r="38" spans="1:31" s="47" customFormat="1" ht="18" hidden="1" customHeight="1" x14ac:dyDescent="0.3">
      <c r="B38" s="47" t="s">
        <v>66</v>
      </c>
      <c r="D38" s="73"/>
      <c r="E38" s="73"/>
      <c r="L38" s="71">
        <f>+L37*4</f>
        <v>0</v>
      </c>
      <c r="M38" s="71">
        <f>+M37*4</f>
        <v>0</v>
      </c>
      <c r="N38" s="71"/>
      <c r="O38" s="71"/>
      <c r="P38" s="71"/>
      <c r="Q38" s="71">
        <f>Q35*0.04</f>
        <v>2329569.2000000002</v>
      </c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</row>
    <row r="39" spans="1:31" s="48" customFormat="1" ht="6" hidden="1" customHeight="1" x14ac:dyDescent="0.3">
      <c r="A39" s="59"/>
      <c r="B39" s="60"/>
      <c r="N39" s="47"/>
    </row>
    <row r="40" spans="1:31" s="48" customFormat="1" ht="17.25" customHeight="1" thickBot="1" x14ac:dyDescent="0.35">
      <c r="A40" s="59"/>
      <c r="B40" s="60"/>
      <c r="N40" s="47"/>
    </row>
    <row r="41" spans="1:31" s="44" customFormat="1" ht="17.25" hidden="1" customHeight="1" thickBot="1" x14ac:dyDescent="0.35">
      <c r="A41" s="42" t="s">
        <v>67</v>
      </c>
    </row>
    <row r="42" spans="1:31" s="48" customFormat="1" ht="18.75" hidden="1" x14ac:dyDescent="0.3">
      <c r="A42" s="45" t="s">
        <v>68</v>
      </c>
      <c r="B42" s="46"/>
      <c r="C42" s="46"/>
      <c r="D42" s="46"/>
      <c r="E42" s="46"/>
      <c r="F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7"/>
      <c r="AC42" s="47"/>
    </row>
    <row r="43" spans="1:31" s="48" customFormat="1" ht="6" hidden="1" customHeight="1" x14ac:dyDescent="0.3">
      <c r="A43" s="59"/>
      <c r="B43" s="60"/>
    </row>
    <row r="44" spans="1:31" s="48" customFormat="1" ht="18.75" hidden="1" thickBot="1" x14ac:dyDescent="0.35">
      <c r="A44" s="47"/>
      <c r="D44" s="61"/>
      <c r="E44" s="61"/>
      <c r="N44" s="74"/>
      <c r="O44" s="75"/>
      <c r="P44" s="52"/>
      <c r="Q44" s="100" t="s">
        <v>24</v>
      </c>
      <c r="R44" s="100" t="s">
        <v>18</v>
      </c>
      <c r="S44" s="100" t="s">
        <v>5</v>
      </c>
      <c r="T44" s="100" t="s">
        <v>6</v>
      </c>
      <c r="U44" s="100" t="s">
        <v>69</v>
      </c>
      <c r="V44" s="100" t="s">
        <v>70</v>
      </c>
      <c r="W44" s="100" t="s">
        <v>8</v>
      </c>
      <c r="X44" s="100" t="s">
        <v>71</v>
      </c>
      <c r="Y44" s="100"/>
      <c r="Z44" s="101" t="s">
        <v>134</v>
      </c>
      <c r="AA44" s="101" t="s">
        <v>134</v>
      </c>
      <c r="AB44" s="265"/>
      <c r="AC44" s="63"/>
      <c r="AD44" s="63"/>
      <c r="AE44" s="63"/>
    </row>
    <row r="45" spans="1:31" s="76" customFormat="1" ht="18" hidden="1" customHeight="1" thickBot="1" x14ac:dyDescent="0.35">
      <c r="A45" s="47"/>
      <c r="C45" s="76" t="s">
        <v>72</v>
      </c>
      <c r="D45" s="77"/>
      <c r="E45" s="77"/>
      <c r="N45" s="78">
        <v>0.04</v>
      </c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</row>
    <row r="46" spans="1:31" s="48" customFormat="1" ht="18" hidden="1" customHeight="1" x14ac:dyDescent="0.3">
      <c r="A46" s="47"/>
      <c r="B46" s="60" t="s">
        <v>28</v>
      </c>
      <c r="D46" s="70"/>
      <c r="E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</row>
    <row r="47" spans="1:31" s="48" customFormat="1" ht="15.95" hidden="1" customHeight="1" x14ac:dyDescent="0.3">
      <c r="A47" s="47"/>
      <c r="C47" s="47" t="s">
        <v>73</v>
      </c>
      <c r="D47" s="70"/>
      <c r="E47" s="70"/>
      <c r="N47" s="71"/>
      <c r="O47" s="71"/>
      <c r="P47" s="71"/>
      <c r="Q47" s="71">
        <v>5850</v>
      </c>
      <c r="R47" s="71">
        <v>4737</v>
      </c>
      <c r="S47" s="71">
        <v>3773</v>
      </c>
      <c r="T47" s="71">
        <v>4658</v>
      </c>
      <c r="U47" s="71">
        <v>2520</v>
      </c>
      <c r="V47" s="71">
        <v>3288</v>
      </c>
      <c r="W47" s="71">
        <v>3944</v>
      </c>
      <c r="X47" s="71">
        <v>2640</v>
      </c>
      <c r="Y47" s="71"/>
      <c r="Z47" s="71">
        <f>AVERAGE(Q47:X47)</f>
        <v>3926.25</v>
      </c>
      <c r="AA47" s="71">
        <f>AVERAGE(R47:Y47)</f>
        <v>3651.4285714285716</v>
      </c>
      <c r="AB47" s="71"/>
      <c r="AC47" s="71"/>
      <c r="AD47" s="71"/>
      <c r="AE47" s="71"/>
    </row>
    <row r="48" spans="1:31" s="48" customFormat="1" ht="15.95" hidden="1" customHeight="1" x14ac:dyDescent="0.3">
      <c r="A48" s="47"/>
      <c r="C48" s="48" t="s">
        <v>74</v>
      </c>
      <c r="D48" s="70"/>
      <c r="E48" s="70"/>
      <c r="N48" s="71"/>
      <c r="O48" s="71"/>
      <c r="P48" s="71"/>
      <c r="Q48" s="71">
        <f t="shared" ref="Q48:Z48" si="1">ROUND(Q47*0.01, 0)</f>
        <v>59</v>
      </c>
      <c r="R48" s="71">
        <f t="shared" si="1"/>
        <v>47</v>
      </c>
      <c r="S48" s="71">
        <f t="shared" si="1"/>
        <v>38</v>
      </c>
      <c r="T48" s="71">
        <f t="shared" si="1"/>
        <v>47</v>
      </c>
      <c r="U48" s="71"/>
      <c r="V48" s="71">
        <f t="shared" si="1"/>
        <v>33</v>
      </c>
      <c r="W48" s="71">
        <f t="shared" si="1"/>
        <v>39</v>
      </c>
      <c r="X48" s="71">
        <f t="shared" si="1"/>
        <v>26</v>
      </c>
      <c r="Y48" s="71"/>
      <c r="Z48" s="71">
        <f t="shared" si="1"/>
        <v>39</v>
      </c>
      <c r="AA48" s="71">
        <f t="shared" ref="AA48" si="2">ROUND(AA47*0.01, 0)</f>
        <v>37</v>
      </c>
      <c r="AB48" s="71"/>
      <c r="AC48" s="71"/>
      <c r="AD48" s="71"/>
      <c r="AE48" s="71"/>
    </row>
    <row r="49" spans="1:31" s="48" customFormat="1" ht="15.95" hidden="1" customHeight="1" x14ac:dyDescent="0.3">
      <c r="A49" s="47"/>
      <c r="C49" s="48" t="s">
        <v>75</v>
      </c>
      <c r="D49" s="70"/>
      <c r="E49" s="70"/>
      <c r="N49" s="71"/>
      <c r="O49" s="71"/>
      <c r="P49" s="71"/>
      <c r="Q49" s="71"/>
      <c r="R49" s="71"/>
      <c r="S49" s="71"/>
      <c r="T49" s="71">
        <f>ROUND(T47*$N$45, 0)</f>
        <v>186</v>
      </c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</row>
    <row r="50" spans="1:31" s="48" customFormat="1" ht="18" hidden="1" customHeight="1" x14ac:dyDescent="0.3">
      <c r="A50" s="47"/>
      <c r="B50" s="60" t="s">
        <v>76</v>
      </c>
      <c r="D50" s="70"/>
      <c r="E50" s="70"/>
      <c r="N50" s="73"/>
      <c r="O50" s="73"/>
      <c r="P50" s="73"/>
      <c r="Q50" s="73"/>
      <c r="R50" s="73"/>
      <c r="S50" s="79"/>
      <c r="T50" s="73"/>
      <c r="U50" s="73"/>
      <c r="V50" s="73"/>
      <c r="W50" s="73"/>
      <c r="X50" s="73"/>
      <c r="Y50" s="73"/>
      <c r="Z50" s="73"/>
      <c r="AA50" s="73"/>
      <c r="AB50" s="73"/>
      <c r="AC50" s="70"/>
      <c r="AD50" s="70"/>
      <c r="AE50" s="70"/>
    </row>
    <row r="51" spans="1:31" s="48" customFormat="1" ht="15.95" hidden="1" customHeight="1" x14ac:dyDescent="0.3">
      <c r="A51" s="47"/>
      <c r="C51" s="47" t="s">
        <v>73</v>
      </c>
      <c r="D51" s="70"/>
      <c r="E51" s="70"/>
      <c r="N51" s="71"/>
      <c r="O51" s="71"/>
      <c r="P51" s="71"/>
      <c r="Q51" s="71">
        <v>5112</v>
      </c>
      <c r="R51" s="73">
        <v>4437</v>
      </c>
      <c r="S51" s="73">
        <v>3810</v>
      </c>
      <c r="T51" s="80">
        <v>4738</v>
      </c>
      <c r="U51" s="73"/>
      <c r="V51" s="71"/>
      <c r="W51" s="71">
        <v>4420</v>
      </c>
      <c r="X51" s="71"/>
      <c r="Y51" s="71"/>
      <c r="Z51" s="71">
        <f>AVERAGEA(Q51:X51)</f>
        <v>4503.3999999999996</v>
      </c>
      <c r="AA51" s="71">
        <f>AVERAGEA(R51:Y51)</f>
        <v>4351.25</v>
      </c>
      <c r="AB51" s="71"/>
      <c r="AC51" s="71"/>
      <c r="AD51" s="71"/>
      <c r="AE51" s="71"/>
    </row>
    <row r="52" spans="1:31" s="48" customFormat="1" ht="15.95" hidden="1" customHeight="1" x14ac:dyDescent="0.3">
      <c r="A52" s="47"/>
      <c r="C52" s="48" t="s">
        <v>74</v>
      </c>
      <c r="D52" s="70"/>
      <c r="E52" s="70"/>
      <c r="N52" s="71"/>
      <c r="O52" s="71"/>
      <c r="P52" s="71"/>
      <c r="Q52" s="71">
        <f>ROUND(Q51*0.01, 0)</f>
        <v>51</v>
      </c>
      <c r="R52" s="71">
        <f>ROUND(R51*0.01, 0)</f>
        <v>44</v>
      </c>
      <c r="S52" s="71">
        <f>ROUND(S51*0.01, 0)</f>
        <v>38</v>
      </c>
      <c r="T52" s="71">
        <f>ROUND(T51*0.01, 0)</f>
        <v>47</v>
      </c>
      <c r="U52" s="71"/>
      <c r="V52" s="71"/>
      <c r="W52" s="71">
        <f>ROUND(W51*0.01, 0)</f>
        <v>44</v>
      </c>
      <c r="X52" s="71"/>
      <c r="Y52" s="71"/>
      <c r="Z52" s="71">
        <f>ROUND(Z51*0.01, 0)</f>
        <v>45</v>
      </c>
      <c r="AA52" s="71">
        <f>ROUND(AA51*0.01, 0)</f>
        <v>44</v>
      </c>
      <c r="AB52" s="71"/>
      <c r="AC52" s="71"/>
      <c r="AD52" s="71"/>
      <c r="AE52" s="71"/>
    </row>
    <row r="53" spans="1:31" s="48" customFormat="1" ht="15.95" hidden="1" customHeight="1" x14ac:dyDescent="0.3">
      <c r="A53" s="47"/>
      <c r="C53" s="48" t="s">
        <v>75</v>
      </c>
      <c r="D53" s="70"/>
      <c r="E53" s="70"/>
      <c r="N53" s="71"/>
      <c r="O53" s="71"/>
      <c r="P53" s="71"/>
      <c r="Q53" s="71"/>
      <c r="R53" s="73"/>
      <c r="S53" s="73"/>
      <c r="T53" s="71">
        <f>ROUND(T51*$N$45, 0)</f>
        <v>190</v>
      </c>
      <c r="U53" s="73"/>
      <c r="V53" s="71"/>
      <c r="W53" s="71"/>
      <c r="X53" s="71"/>
      <c r="Y53" s="71"/>
      <c r="Z53" s="71"/>
      <c r="AA53" s="71"/>
      <c r="AB53" s="71"/>
      <c r="AC53" s="71"/>
      <c r="AD53" s="71"/>
      <c r="AE53" s="71"/>
    </row>
    <row r="54" spans="1:31" s="48" customFormat="1" ht="15" hidden="1" customHeight="1" x14ac:dyDescent="0.3">
      <c r="A54" s="47"/>
      <c r="B54" s="60" t="s">
        <v>77</v>
      </c>
      <c r="D54" s="70"/>
      <c r="E54" s="70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0"/>
      <c r="AD54" s="70"/>
      <c r="AE54" s="70"/>
    </row>
    <row r="55" spans="1:31" s="48" customFormat="1" ht="15.95" hidden="1" customHeight="1" x14ac:dyDescent="0.3">
      <c r="A55" s="47"/>
      <c r="C55" s="47" t="s">
        <v>73</v>
      </c>
      <c r="D55" s="70"/>
      <c r="E55" s="70"/>
      <c r="N55" s="71"/>
      <c r="O55" s="71"/>
      <c r="P55" s="71"/>
      <c r="Q55" s="71">
        <v>20476</v>
      </c>
      <c r="R55" s="71">
        <v>15253</v>
      </c>
      <c r="S55" s="71">
        <v>11484</v>
      </c>
      <c r="T55" s="71">
        <v>15370</v>
      </c>
      <c r="U55" s="71">
        <v>9196</v>
      </c>
      <c r="V55" s="71">
        <v>12960</v>
      </c>
      <c r="W55" s="71">
        <v>12300</v>
      </c>
      <c r="X55" s="71">
        <v>9192</v>
      </c>
      <c r="Y55" s="71"/>
      <c r="Z55" s="71">
        <f>AVERAGE(Q55:X55)</f>
        <v>13278.875</v>
      </c>
      <c r="AA55" s="71">
        <f>AVERAGE(R55:Y55)</f>
        <v>12250.714285714286</v>
      </c>
      <c r="AB55" s="71"/>
      <c r="AC55" s="71"/>
      <c r="AD55" s="71"/>
      <c r="AE55" s="71"/>
    </row>
    <row r="56" spans="1:31" s="48" customFormat="1" ht="15.95" hidden="1" customHeight="1" x14ac:dyDescent="0.3">
      <c r="A56" s="47"/>
      <c r="C56" s="48" t="s">
        <v>74</v>
      </c>
      <c r="D56" s="70"/>
      <c r="E56" s="70"/>
      <c r="N56" s="71"/>
      <c r="O56" s="71"/>
      <c r="P56" s="71"/>
      <c r="Q56" s="71">
        <f t="shared" ref="Q56:Z56" si="3">ROUND(Q55*0.01, 0)</f>
        <v>205</v>
      </c>
      <c r="R56" s="71">
        <f t="shared" si="3"/>
        <v>153</v>
      </c>
      <c r="S56" s="71">
        <f t="shared" si="3"/>
        <v>115</v>
      </c>
      <c r="T56" s="71">
        <f t="shared" si="3"/>
        <v>154</v>
      </c>
      <c r="U56" s="71">
        <f t="shared" si="3"/>
        <v>92</v>
      </c>
      <c r="V56" s="71">
        <f t="shared" si="3"/>
        <v>130</v>
      </c>
      <c r="W56" s="71">
        <f t="shared" si="3"/>
        <v>123</v>
      </c>
      <c r="X56" s="71">
        <f t="shared" si="3"/>
        <v>92</v>
      </c>
      <c r="Y56" s="71"/>
      <c r="Z56" s="71">
        <f t="shared" si="3"/>
        <v>133</v>
      </c>
      <c r="AA56" s="71">
        <f t="shared" ref="AA56" si="4">ROUND(AA55*0.01, 0)</f>
        <v>123</v>
      </c>
      <c r="AB56" s="71"/>
      <c r="AC56" s="71"/>
      <c r="AD56" s="71"/>
      <c r="AE56" s="71"/>
    </row>
    <row r="57" spans="1:31" s="48" customFormat="1" ht="15.95" hidden="1" customHeight="1" x14ac:dyDescent="0.3">
      <c r="A57" s="47"/>
      <c r="C57" s="48" t="s">
        <v>75</v>
      </c>
      <c r="D57" s="70"/>
      <c r="E57" s="70"/>
      <c r="N57" s="71"/>
      <c r="O57" s="71"/>
      <c r="P57" s="71"/>
      <c r="Q57" s="71"/>
      <c r="R57" s="71"/>
      <c r="S57" s="71"/>
      <c r="T57" s="71">
        <f>ROUND(T55*$N$45, 0)</f>
        <v>615</v>
      </c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</row>
    <row r="58" spans="1:31" s="48" customFormat="1" ht="18" hidden="1" customHeight="1" x14ac:dyDescent="0.3">
      <c r="A58" s="47"/>
      <c r="B58" s="60" t="s">
        <v>78</v>
      </c>
      <c r="D58" s="70"/>
      <c r="E58" s="70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0"/>
      <c r="AD58" s="70"/>
      <c r="AE58" s="70"/>
    </row>
    <row r="59" spans="1:31" s="48" customFormat="1" ht="15.95" hidden="1" customHeight="1" x14ac:dyDescent="0.3">
      <c r="A59" s="47"/>
      <c r="C59" s="47" t="s">
        <v>73</v>
      </c>
      <c r="D59" s="70"/>
      <c r="E59" s="70"/>
      <c r="N59" s="71"/>
      <c r="O59" s="71"/>
      <c r="P59" s="71"/>
      <c r="Q59" s="71">
        <v>18043</v>
      </c>
      <c r="R59" s="73">
        <v>15529</v>
      </c>
      <c r="S59" s="73">
        <v>11597</v>
      </c>
      <c r="T59" s="80">
        <v>15632</v>
      </c>
      <c r="U59" s="73"/>
      <c r="V59" s="71"/>
      <c r="W59" s="71">
        <v>13600</v>
      </c>
      <c r="X59" s="71"/>
      <c r="Y59" s="71"/>
      <c r="Z59" s="71">
        <f>AVERAGE(Q59:X59)</f>
        <v>14880.2</v>
      </c>
      <c r="AA59" s="71">
        <f>AVERAGE(R59:Y59)</f>
        <v>14089.5</v>
      </c>
      <c r="AB59" s="71"/>
      <c r="AC59" s="71"/>
      <c r="AD59" s="71"/>
      <c r="AE59" s="71"/>
    </row>
    <row r="60" spans="1:31" s="48" customFormat="1" ht="15.95" hidden="1" customHeight="1" x14ac:dyDescent="0.3">
      <c r="A60" s="47"/>
      <c r="C60" s="48" t="s">
        <v>74</v>
      </c>
      <c r="D60" s="70"/>
      <c r="E60" s="70"/>
      <c r="N60" s="71"/>
      <c r="O60" s="71"/>
      <c r="P60" s="71"/>
      <c r="Q60" s="71">
        <f>ROUND(Q59*0.01, 0)</f>
        <v>180</v>
      </c>
      <c r="R60" s="71">
        <f>ROUND(R59*0.01, 0)</f>
        <v>155</v>
      </c>
      <c r="S60" s="71">
        <f>ROUND(S59*0.01, 0)</f>
        <v>116</v>
      </c>
      <c r="T60" s="71">
        <f>ROUND(T59*0.01, 0)</f>
        <v>156</v>
      </c>
      <c r="U60" s="71"/>
      <c r="V60" s="71"/>
      <c r="W60" s="71">
        <f>ROUND(W59*0.01, 0)</f>
        <v>136</v>
      </c>
      <c r="X60" s="71"/>
      <c r="Y60" s="71"/>
      <c r="Z60" s="71">
        <f>ROUND(Z59*0.01, 0)</f>
        <v>149</v>
      </c>
      <c r="AA60" s="71">
        <f>ROUND(AA59*0.01, 0)</f>
        <v>141</v>
      </c>
      <c r="AB60" s="71"/>
      <c r="AC60" s="71"/>
      <c r="AD60" s="71"/>
      <c r="AE60" s="71"/>
    </row>
    <row r="61" spans="1:31" s="48" customFormat="1" ht="15.95" hidden="1" customHeight="1" x14ac:dyDescent="0.3">
      <c r="A61" s="47"/>
      <c r="C61" s="48" t="s">
        <v>75</v>
      </c>
      <c r="D61" s="70"/>
      <c r="E61" s="70"/>
      <c r="L61" s="71">
        <f>ROUND(N59*$N$45, 0)</f>
        <v>0</v>
      </c>
      <c r="M61" s="71">
        <f>ROUND(O59*$N$45, 0)</f>
        <v>0</v>
      </c>
      <c r="N61" s="71"/>
      <c r="O61" s="71"/>
      <c r="P61" s="73"/>
      <c r="Q61" s="73"/>
      <c r="R61" s="71"/>
      <c r="S61" s="73"/>
      <c r="T61" s="71">
        <f>AVERAGE(L61:S61)</f>
        <v>0</v>
      </c>
      <c r="U61" s="71"/>
      <c r="V61" s="71"/>
      <c r="W61" s="71"/>
      <c r="X61" s="71"/>
      <c r="Y61" s="71"/>
      <c r="Z61" s="71"/>
      <c r="AA61" s="71"/>
      <c r="AB61" s="71"/>
      <c r="AC61" s="71"/>
    </row>
    <row r="62" spans="1:31" s="48" customFormat="1" ht="15.95" hidden="1" customHeight="1" x14ac:dyDescent="0.3">
      <c r="A62" s="47"/>
      <c r="D62" s="70"/>
      <c r="E62" s="70"/>
      <c r="L62" s="71"/>
      <c r="M62" s="71"/>
      <c r="N62" s="71"/>
      <c r="O62" s="71"/>
      <c r="P62" s="73"/>
      <c r="Q62" s="73"/>
      <c r="R62" s="71"/>
      <c r="S62" s="73"/>
      <c r="T62" s="71"/>
      <c r="U62" s="71"/>
      <c r="V62" s="71"/>
      <c r="W62" s="71"/>
      <c r="X62" s="71"/>
      <c r="Y62" s="71"/>
      <c r="Z62" s="71"/>
      <c r="AA62" s="71"/>
      <c r="AB62" s="71"/>
      <c r="AC62" s="71"/>
    </row>
    <row r="63" spans="1:31" s="48" customFormat="1" ht="15" hidden="1" customHeight="1" x14ac:dyDescent="0.3">
      <c r="A63" s="81" t="s">
        <v>79</v>
      </c>
      <c r="B63" s="60"/>
    </row>
    <row r="64" spans="1:31" s="48" customFormat="1" ht="15" hidden="1" customHeight="1" x14ac:dyDescent="0.3">
      <c r="A64" s="82" t="s">
        <v>80</v>
      </c>
    </row>
    <row r="65" spans="1:32" s="48" customFormat="1" ht="15" hidden="1" customHeight="1" x14ac:dyDescent="0.3">
      <c r="A65" s="82" t="s">
        <v>81</v>
      </c>
    </row>
    <row r="66" spans="1:32" s="48" customFormat="1" ht="15" hidden="1" customHeight="1" x14ac:dyDescent="0.3">
      <c r="A66" s="82" t="s">
        <v>82</v>
      </c>
    </row>
    <row r="67" spans="1:32" s="48" customFormat="1" ht="16.5" hidden="1" x14ac:dyDescent="0.3">
      <c r="A67" s="42" t="s">
        <v>83</v>
      </c>
      <c r="B67" s="43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</row>
    <row r="68" spans="1:32" s="48" customFormat="1" ht="18.75" x14ac:dyDescent="0.3">
      <c r="A68" s="1055" t="s">
        <v>891</v>
      </c>
      <c r="B68" s="1055"/>
      <c r="C68" s="1055"/>
      <c r="D68" s="1055"/>
      <c r="E68" s="1055"/>
      <c r="F68" s="1055"/>
      <c r="G68" s="1055"/>
      <c r="H68" s="1055"/>
      <c r="I68" s="1055"/>
      <c r="J68" s="1055"/>
      <c r="K68" s="1055"/>
      <c r="L68" s="1055"/>
      <c r="M68" s="1055"/>
      <c r="N68" s="1055"/>
      <c r="O68" s="1055"/>
      <c r="P68" s="1055"/>
      <c r="Q68" s="1055"/>
      <c r="R68" s="1055"/>
      <c r="S68" s="1055"/>
      <c r="T68" s="1055"/>
      <c r="U68" s="1055"/>
      <c r="V68" s="1055"/>
      <c r="W68" s="1055"/>
      <c r="X68" s="1055"/>
      <c r="Y68" s="1055"/>
      <c r="Z68" s="1055"/>
      <c r="AA68" s="1055"/>
      <c r="AB68" s="1055"/>
      <c r="AC68" s="1055"/>
      <c r="AD68" s="1055"/>
      <c r="AE68" s="1055"/>
      <c r="AF68" s="1055"/>
    </row>
    <row r="69" spans="1:32" s="48" customFormat="1" ht="6" customHeight="1" x14ac:dyDescent="0.3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</row>
    <row r="70" spans="1:32" s="52" customFormat="1" ht="18" customHeight="1" x14ac:dyDescent="0.3">
      <c r="A70" s="49"/>
      <c r="B70" s="49"/>
      <c r="C70" s="49"/>
      <c r="D70" s="49"/>
      <c r="E70" s="50" t="s">
        <v>84</v>
      </c>
      <c r="F70" s="50" t="s">
        <v>85</v>
      </c>
      <c r="G70" s="50" t="s">
        <v>86</v>
      </c>
      <c r="H70" s="50" t="s">
        <v>87</v>
      </c>
      <c r="I70" s="50" t="s">
        <v>88</v>
      </c>
      <c r="J70" s="50" t="s">
        <v>89</v>
      </c>
      <c r="K70" s="50" t="s">
        <v>90</v>
      </c>
      <c r="L70" s="50" t="s">
        <v>91</v>
      </c>
      <c r="M70" s="50" t="s">
        <v>92</v>
      </c>
      <c r="N70" s="50" t="s">
        <v>93</v>
      </c>
      <c r="O70" s="83" t="s">
        <v>94</v>
      </c>
      <c r="P70" s="106" t="s">
        <v>95</v>
      </c>
      <c r="Q70" s="106" t="s">
        <v>96</v>
      </c>
      <c r="R70" s="99" t="s">
        <v>97</v>
      </c>
      <c r="S70" s="99" t="s">
        <v>98</v>
      </c>
      <c r="T70" s="99" t="s">
        <v>99</v>
      </c>
      <c r="U70" s="99" t="s">
        <v>100</v>
      </c>
      <c r="V70" s="271" t="s">
        <v>101</v>
      </c>
      <c r="W70" s="271" t="s">
        <v>102</v>
      </c>
      <c r="X70" s="271" t="s">
        <v>103</v>
      </c>
      <c r="Y70" s="271" t="s">
        <v>104</v>
      </c>
      <c r="Z70" s="271" t="s">
        <v>146</v>
      </c>
      <c r="AA70" s="271" t="s">
        <v>154</v>
      </c>
      <c r="AB70" s="271" t="s">
        <v>158</v>
      </c>
      <c r="AC70" s="271" t="s">
        <v>224</v>
      </c>
      <c r="AD70" s="271" t="s">
        <v>229</v>
      </c>
      <c r="AE70" s="271" t="s">
        <v>236</v>
      </c>
      <c r="AF70" s="271" t="s">
        <v>533</v>
      </c>
    </row>
    <row r="71" spans="1:32" s="54" customFormat="1" ht="18" customHeight="1" x14ac:dyDescent="0.3">
      <c r="A71" s="53"/>
      <c r="B71" s="84" t="s">
        <v>105</v>
      </c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</row>
    <row r="72" spans="1:32" s="48" customFormat="1" ht="18" customHeight="1" x14ac:dyDescent="0.3">
      <c r="A72" s="47"/>
      <c r="B72" s="47"/>
      <c r="C72" s="47" t="s">
        <v>106</v>
      </c>
      <c r="D72" s="47"/>
      <c r="E72" s="55">
        <v>0.13400000000000001</v>
      </c>
      <c r="F72" s="55">
        <v>0.124</v>
      </c>
      <c r="G72" s="55">
        <v>9.2999999999999999E-2</v>
      </c>
      <c r="H72" s="55">
        <v>9.5000000000000001E-2</v>
      </c>
      <c r="I72" s="55">
        <v>3.7999999999999999E-2</v>
      </c>
      <c r="J72" s="55">
        <v>3.7999999999999999E-2</v>
      </c>
      <c r="K72" s="55">
        <v>4.2000000000000003E-2</v>
      </c>
      <c r="L72" s="55">
        <v>1.2999999999999999E-2</v>
      </c>
      <c r="M72" s="55">
        <v>2.5000000000000001E-2</v>
      </c>
      <c r="N72" s="55">
        <v>3.1E-2</v>
      </c>
      <c r="O72" s="55">
        <v>4.7E-2</v>
      </c>
      <c r="P72" s="55">
        <v>6.3E-2</v>
      </c>
      <c r="Q72" s="85">
        <v>0.14899999999999999</v>
      </c>
      <c r="R72" s="85">
        <v>0.1</v>
      </c>
      <c r="S72" s="85">
        <v>8.5999999999999993E-2</v>
      </c>
      <c r="T72" s="85">
        <v>6.6000000000000003E-2</v>
      </c>
      <c r="U72" s="85">
        <v>8.4000000000000005E-2</v>
      </c>
      <c r="V72" s="85">
        <v>6.4000000000000001E-2</v>
      </c>
      <c r="W72" s="85">
        <v>0.125</v>
      </c>
      <c r="X72" s="85">
        <v>7.6999999999999999E-2</v>
      </c>
      <c r="Y72" s="85">
        <v>0.13700000000000001</v>
      </c>
      <c r="Z72" s="85">
        <v>4.1000000000000002E-2</v>
      </c>
      <c r="AA72" s="85">
        <v>3.1E-2</v>
      </c>
      <c r="AB72" s="85">
        <v>2.3E-2</v>
      </c>
      <c r="AC72" s="85">
        <v>2.7E-2</v>
      </c>
      <c r="AD72" s="85">
        <v>1.6E-2</v>
      </c>
      <c r="AE72" s="85">
        <v>4.8000000000000001E-2</v>
      </c>
      <c r="AF72" s="85">
        <v>0.02</v>
      </c>
    </row>
    <row r="73" spans="1:32" s="48" customFormat="1" ht="18" customHeight="1" x14ac:dyDescent="0.3">
      <c r="A73" s="47"/>
      <c r="B73" s="47"/>
      <c r="C73" s="47" t="s">
        <v>34</v>
      </c>
      <c r="D73" s="47"/>
      <c r="E73" s="55">
        <v>0.13300000000000001</v>
      </c>
      <c r="F73" s="55">
        <v>0.13</v>
      </c>
      <c r="G73" s="55">
        <v>0.112</v>
      </c>
      <c r="H73" s="55">
        <v>0.107</v>
      </c>
      <c r="I73" s="55">
        <v>6.6000000000000003E-2</v>
      </c>
      <c r="J73" s="55">
        <v>3.6999999999999998E-2</v>
      </c>
      <c r="K73" s="55">
        <v>3.2000000000000001E-2</v>
      </c>
      <c r="L73" s="55">
        <v>2.9000000000000001E-2</v>
      </c>
      <c r="M73" s="55">
        <v>2.5999999999999999E-2</v>
      </c>
      <c r="N73" s="55">
        <v>4.4999999999999998E-2</v>
      </c>
      <c r="O73" s="55">
        <v>4.7E-2</v>
      </c>
      <c r="P73" s="55">
        <v>6.5000000000000002E-2</v>
      </c>
      <c r="Q73" s="85">
        <v>0.153</v>
      </c>
      <c r="R73" s="85">
        <v>0.123</v>
      </c>
      <c r="S73" s="85">
        <v>9.7000000000000003E-2</v>
      </c>
      <c r="T73" s="85">
        <v>7.0999999999999994E-2</v>
      </c>
      <c r="U73" s="85">
        <v>0.06</v>
      </c>
      <c r="V73" s="85">
        <v>8.5999999999999993E-2</v>
      </c>
      <c r="W73" s="85">
        <v>0.108</v>
      </c>
      <c r="X73" s="85">
        <v>4.7E-2</v>
      </c>
      <c r="Y73" s="85">
        <v>0.127</v>
      </c>
      <c r="Z73" s="85">
        <v>4.2000000000000003E-2</v>
      </c>
      <c r="AA73" s="85">
        <v>3.1E-2</v>
      </c>
      <c r="AB73" s="85">
        <v>2.5999999999999999E-2</v>
      </c>
      <c r="AC73" s="85">
        <v>3.3000000000000002E-2</v>
      </c>
      <c r="AD73" s="85">
        <v>2.7E-2</v>
      </c>
      <c r="AE73" s="85">
        <v>4.2000000000000003E-2</v>
      </c>
      <c r="AF73" s="85">
        <v>2.1000000000000001E-2</v>
      </c>
    </row>
    <row r="74" spans="1:32" s="48" customFormat="1" ht="18" customHeight="1" x14ac:dyDescent="0.3">
      <c r="A74" s="47"/>
      <c r="B74" s="47"/>
      <c r="C74" s="47" t="s">
        <v>107</v>
      </c>
      <c r="D74" s="47"/>
      <c r="E74" s="55">
        <v>0.14199999999999999</v>
      </c>
      <c r="F74" s="55">
        <v>7.1999999999999995E-2</v>
      </c>
      <c r="G74" s="55">
        <v>6.7000000000000004E-2</v>
      </c>
      <c r="H74" s="55">
        <v>7.5999999999999998E-2</v>
      </c>
      <c r="I74" s="55">
        <v>4.5999999999999999E-2</v>
      </c>
      <c r="J74" s="55">
        <v>5.0999999999999997E-2</v>
      </c>
      <c r="K74" s="55">
        <v>4.2000000000000003E-2</v>
      </c>
      <c r="L74" s="55">
        <v>0.03</v>
      </c>
      <c r="M74" s="55">
        <v>2.8000000000000001E-2</v>
      </c>
      <c r="N74" s="55">
        <v>2.8000000000000001E-2</v>
      </c>
      <c r="O74" s="55">
        <v>4.5999999999999999E-2</v>
      </c>
      <c r="P74" s="55">
        <v>9.0999999999999998E-2</v>
      </c>
      <c r="Q74" s="85">
        <v>8.4000000000000005E-2</v>
      </c>
      <c r="R74" s="85">
        <v>0.106</v>
      </c>
      <c r="S74" s="85">
        <v>0.05</v>
      </c>
      <c r="T74" s="85">
        <v>5.8000000000000003E-2</v>
      </c>
      <c r="U74" s="85">
        <v>3.2000000000000001E-2</v>
      </c>
      <c r="V74" s="85">
        <v>5.1999999999999998E-2</v>
      </c>
      <c r="W74" s="85">
        <v>6.7000000000000004E-2</v>
      </c>
      <c r="X74" s="85">
        <v>5.2999999999999999E-2</v>
      </c>
      <c r="Y74" s="85">
        <v>7.4999999999999997E-2</v>
      </c>
      <c r="Z74" s="85">
        <v>0.04</v>
      </c>
      <c r="AA74" s="85">
        <v>2.3E-2</v>
      </c>
      <c r="AB74" s="85">
        <v>2.8000000000000001E-2</v>
      </c>
      <c r="AC74" s="85">
        <v>3.5999999999999997E-2</v>
      </c>
      <c r="AD74" s="85">
        <v>3.4000000000000002E-2</v>
      </c>
      <c r="AE74" s="85">
        <v>4.5999999999999999E-2</v>
      </c>
      <c r="AF74" s="85">
        <v>0.02</v>
      </c>
    </row>
    <row r="75" spans="1:32" s="48" customFormat="1" ht="18" customHeight="1" x14ac:dyDescent="0.3">
      <c r="A75" s="47"/>
      <c r="B75" s="47"/>
      <c r="C75" s="47" t="s">
        <v>108</v>
      </c>
      <c r="D75" s="47"/>
      <c r="E75" s="55">
        <v>0.14499999999999999</v>
      </c>
      <c r="F75" s="55">
        <v>7.8E-2</v>
      </c>
      <c r="G75" s="55">
        <v>6.6000000000000003E-2</v>
      </c>
      <c r="H75" s="55">
        <v>7.5999999999999998E-2</v>
      </c>
      <c r="I75" s="55">
        <v>0.06</v>
      </c>
      <c r="J75" s="55">
        <v>4.5999999999999999E-2</v>
      </c>
      <c r="K75" s="55">
        <v>3.4000000000000002E-2</v>
      </c>
      <c r="L75" s="55">
        <v>0.03</v>
      </c>
      <c r="M75" s="55">
        <v>3.5999999999999997E-2</v>
      </c>
      <c r="N75" s="55">
        <v>0.03</v>
      </c>
      <c r="O75" s="55">
        <v>4.1000000000000002E-2</v>
      </c>
      <c r="P75" s="55">
        <v>8.2000000000000003E-2</v>
      </c>
      <c r="Q75" s="85">
        <v>8.5999999999999993E-2</v>
      </c>
      <c r="R75" s="85">
        <v>0.113</v>
      </c>
      <c r="S75" s="85">
        <v>4.7E-2</v>
      </c>
      <c r="T75" s="85">
        <v>3.2000000000000001E-2</v>
      </c>
      <c r="U75" s="85">
        <v>4.3999999999999997E-2</v>
      </c>
      <c r="V75" s="85">
        <v>5.7000000000000002E-2</v>
      </c>
      <c r="W75" s="85">
        <v>4.7E-2</v>
      </c>
      <c r="X75" s="85">
        <v>3.2000000000000001E-2</v>
      </c>
      <c r="Y75" s="85">
        <v>7.2999999999999995E-2</v>
      </c>
      <c r="Z75" s="85">
        <v>6.2E-2</v>
      </c>
      <c r="AA75" s="85">
        <v>2.5000000000000001E-2</v>
      </c>
      <c r="AB75" s="85">
        <v>0.03</v>
      </c>
      <c r="AC75" s="85">
        <v>0.03</v>
      </c>
      <c r="AD75" s="85">
        <v>2.7E-2</v>
      </c>
      <c r="AE75" s="85">
        <v>3.5999999999999997E-2</v>
      </c>
      <c r="AF75" s="85">
        <v>0.01</v>
      </c>
    </row>
    <row r="76" spans="1:32" s="48" customFormat="1" ht="6" customHeight="1" x14ac:dyDescent="0.3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267"/>
      <c r="AD76" s="267"/>
      <c r="AE76" s="47"/>
      <c r="AF76" s="47"/>
    </row>
    <row r="77" spans="1:32" s="48" customFormat="1" ht="18" customHeight="1" x14ac:dyDescent="0.3">
      <c r="A77" s="47"/>
      <c r="B77" s="84" t="s">
        <v>109</v>
      </c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267"/>
      <c r="AD77" s="267"/>
      <c r="AE77" s="47"/>
      <c r="AF77" s="47"/>
    </row>
    <row r="78" spans="1:32" s="48" customFormat="1" ht="18" customHeight="1" x14ac:dyDescent="0.3">
      <c r="A78" s="47"/>
      <c r="B78" s="47"/>
      <c r="C78" s="47" t="s">
        <v>110</v>
      </c>
      <c r="D78" s="47"/>
      <c r="E78" s="55">
        <v>8.5000000000000006E-2</v>
      </c>
      <c r="F78" s="55">
        <v>8.8999999999999996E-2</v>
      </c>
      <c r="G78" s="55">
        <v>8.5000000000000006E-2</v>
      </c>
      <c r="H78" s="55">
        <v>7.400000000000001E-2</v>
      </c>
      <c r="I78" s="55">
        <v>1.9E-2</v>
      </c>
      <c r="J78" s="55">
        <v>5.7000000000000002E-2</v>
      </c>
      <c r="K78" s="55">
        <v>2.9000000000000001E-2</v>
      </c>
      <c r="L78" s="55">
        <v>0.11</v>
      </c>
      <c r="M78" s="55">
        <v>4.3999999999999997E-2</v>
      </c>
      <c r="N78" s="55">
        <v>-1.2999999999999999E-2</v>
      </c>
      <c r="O78" s="55">
        <v>7.2999999999999995E-2</v>
      </c>
      <c r="P78" s="55">
        <v>8.8999999999999996E-2</v>
      </c>
      <c r="Q78" s="85">
        <v>9.6000000000000002E-2</v>
      </c>
      <c r="R78" s="85">
        <v>0.09</v>
      </c>
      <c r="S78" s="85">
        <v>8.5000000000000006E-2</v>
      </c>
      <c r="T78" s="85">
        <v>5.8000000000000003E-2</v>
      </c>
      <c r="U78" s="85">
        <v>4.1000000000000002E-2</v>
      </c>
      <c r="V78" s="85">
        <v>3.9E-2</v>
      </c>
      <c r="W78" s="85">
        <v>6.4000000000000001E-2</v>
      </c>
      <c r="X78" s="85">
        <v>7.0999999999999994E-2</v>
      </c>
      <c r="Y78" s="85">
        <v>0.14699999999999999</v>
      </c>
      <c r="Z78" s="85">
        <v>5.5E-2</v>
      </c>
      <c r="AA78" s="85">
        <v>2.5999999999999999E-2</v>
      </c>
      <c r="AB78" s="85">
        <v>1.4E-2</v>
      </c>
      <c r="AC78" s="85">
        <v>1.4E-2</v>
      </c>
      <c r="AD78" s="85">
        <v>1.7999999999999999E-2</v>
      </c>
      <c r="AE78" s="85">
        <v>3.5000000000000003E-2</v>
      </c>
      <c r="AF78" s="85">
        <v>2.1000000000000001E-2</v>
      </c>
    </row>
    <row r="79" spans="1:32" s="48" customFormat="1" ht="18" customHeight="1" x14ac:dyDescent="0.3">
      <c r="A79" s="47"/>
      <c r="B79" s="47"/>
      <c r="C79" s="47" t="s">
        <v>111</v>
      </c>
      <c r="D79" s="47"/>
      <c r="E79" s="55">
        <v>6.7000000000000004E-2</v>
      </c>
      <c r="F79" s="55">
        <v>8.6999999999999994E-2</v>
      </c>
      <c r="G79" s="55">
        <v>7.9000000000000001E-2</v>
      </c>
      <c r="H79" s="55">
        <v>0.08</v>
      </c>
      <c r="I79" s="55">
        <v>5.1999999999999998E-2</v>
      </c>
      <c r="J79" s="55">
        <v>3.2000000000000001E-2</v>
      </c>
      <c r="K79" s="55">
        <v>3.2000000000000001E-2</v>
      </c>
      <c r="L79" s="55">
        <v>2.9000000000000001E-2</v>
      </c>
      <c r="M79" s="55">
        <v>2.8000000000000001E-2</v>
      </c>
      <c r="N79" s="55">
        <v>3.5999999999999997E-2</v>
      </c>
      <c r="O79" s="55">
        <v>3.5000000000000003E-2</v>
      </c>
      <c r="P79" s="55">
        <v>4.8000000000000001E-2</v>
      </c>
      <c r="Q79" s="85">
        <v>7.8E-2</v>
      </c>
      <c r="R79" s="85">
        <v>3.1E-2</v>
      </c>
      <c r="S79" s="85">
        <v>0.09</v>
      </c>
      <c r="T79" s="85">
        <v>2.5000000000000001E-2</v>
      </c>
      <c r="U79" s="85">
        <v>8.9999999999999993E-3</v>
      </c>
      <c r="V79" s="85">
        <v>6.8000000000000005E-2</v>
      </c>
      <c r="W79" s="85">
        <v>2.1000000000000001E-2</v>
      </c>
      <c r="X79" s="85">
        <v>2.5000000000000001E-2</v>
      </c>
      <c r="Y79" s="85">
        <v>2.8000000000000001E-2</v>
      </c>
      <c r="Z79" s="85">
        <v>3.1E-2</v>
      </c>
      <c r="AA79" s="85">
        <v>1.7999999999999999E-2</v>
      </c>
      <c r="AB79" s="85">
        <v>3.1E-2</v>
      </c>
      <c r="AC79" s="85">
        <v>1.0999999999999999E-2</v>
      </c>
      <c r="AD79" s="85">
        <v>3.2000000000000001E-2</v>
      </c>
      <c r="AE79" s="85">
        <v>0.04</v>
      </c>
      <c r="AF79" s="85">
        <v>0.01</v>
      </c>
    </row>
    <row r="80" spans="1:32" s="48" customFormat="1" ht="6" customHeight="1" x14ac:dyDescent="0.3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55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</row>
    <row r="81" spans="1:32" s="48" customFormat="1" ht="15" customHeight="1" x14ac:dyDescent="0.3">
      <c r="A81" s="57" t="s">
        <v>237</v>
      </c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</row>
    <row r="82" spans="1:32" s="48" customFormat="1" ht="16.5" x14ac:dyDescent="0.3">
      <c r="A82" s="29" t="s">
        <v>160</v>
      </c>
      <c r="B82" s="47"/>
      <c r="C82" s="47"/>
      <c r="D82" s="47"/>
      <c r="E82" s="47"/>
      <c r="F82" s="47"/>
      <c r="G82" s="47"/>
      <c r="H82" s="47"/>
      <c r="I82" s="47"/>
      <c r="J82" s="47">
        <f>970-844</f>
        <v>126</v>
      </c>
      <c r="K82" s="47">
        <f>J82*3</f>
        <v>378</v>
      </c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</row>
    <row r="83" spans="1:32" s="48" customFormat="1" ht="16.5" hidden="1" x14ac:dyDescent="0.3">
      <c r="A83" s="29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</row>
    <row r="84" spans="1:32" s="44" customFormat="1" ht="16.5" hidden="1" x14ac:dyDescent="0.3">
      <c r="A84" s="86" t="s">
        <v>112</v>
      </c>
      <c r="B84" s="87"/>
      <c r="C84" s="87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</row>
    <row r="85" spans="1:32" s="48" customFormat="1" ht="18.75" hidden="1" x14ac:dyDescent="0.3">
      <c r="A85" s="45" t="s">
        <v>113</v>
      </c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7"/>
    </row>
    <row r="86" spans="1:32" s="48" customFormat="1" ht="6" hidden="1" customHeight="1" x14ac:dyDescent="0.3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</row>
    <row r="87" spans="1:32" s="52" customFormat="1" ht="18" hidden="1" customHeight="1" x14ac:dyDescent="0.3">
      <c r="A87" s="49"/>
      <c r="B87" s="49"/>
      <c r="C87" s="49"/>
      <c r="D87" s="58"/>
      <c r="E87" s="58"/>
      <c r="F87" s="58"/>
      <c r="G87" s="58"/>
      <c r="H87" s="58"/>
      <c r="I87" s="58"/>
      <c r="J87" s="58"/>
      <c r="K87" s="58"/>
      <c r="L87" s="58"/>
      <c r="M87" s="50" t="s">
        <v>92</v>
      </c>
      <c r="N87" s="50" t="s">
        <v>93</v>
      </c>
      <c r="O87" s="83" t="s">
        <v>94</v>
      </c>
      <c r="P87" s="83" t="s">
        <v>95</v>
      </c>
      <c r="Q87" s="83" t="s">
        <v>96</v>
      </c>
      <c r="R87" s="51" t="s">
        <v>97</v>
      </c>
      <c r="S87" s="51" t="s">
        <v>98</v>
      </c>
      <c r="T87" s="88" t="s">
        <v>99</v>
      </c>
      <c r="U87" s="89" t="s">
        <v>114</v>
      </c>
      <c r="V87" s="89" t="s">
        <v>115</v>
      </c>
      <c r="W87" s="90" t="s">
        <v>116</v>
      </c>
      <c r="X87" s="49"/>
      <c r="Y87" s="49"/>
      <c r="Z87" s="91"/>
      <c r="AA87" s="91"/>
      <c r="AB87" s="91"/>
    </row>
    <row r="88" spans="1:32" s="54" customFormat="1" ht="16.5" hidden="1" x14ac:dyDescent="0.3">
      <c r="A88" s="53"/>
      <c r="B88" s="53"/>
      <c r="C88" s="53"/>
      <c r="D88" s="53"/>
      <c r="E88" s="53">
        <v>129.9</v>
      </c>
      <c r="F88" s="53">
        <f t="shared" ref="F88:N88" si="5">+E89</f>
        <v>136</v>
      </c>
      <c r="G88" s="53">
        <f t="shared" si="5"/>
        <v>140.19999999999999</v>
      </c>
      <c r="H88" s="53">
        <f t="shared" si="5"/>
        <v>144.4</v>
      </c>
      <c r="I88" s="53">
        <f t="shared" si="5"/>
        <v>148</v>
      </c>
      <c r="J88" s="53">
        <f t="shared" si="5"/>
        <v>152.5</v>
      </c>
      <c r="K88" s="53">
        <f t="shared" si="5"/>
        <v>156.69999999999999</v>
      </c>
      <c r="L88" s="53">
        <f t="shared" si="5"/>
        <v>160.30000000000001</v>
      </c>
      <c r="M88" s="53">
        <f t="shared" si="5"/>
        <v>163</v>
      </c>
      <c r="N88" s="53">
        <f t="shared" si="5"/>
        <v>166.2</v>
      </c>
      <c r="O88" s="53">
        <f t="shared" ref="O88:T88" si="6">+L89</f>
        <v>163</v>
      </c>
      <c r="P88" s="53">
        <f t="shared" si="6"/>
        <v>166.2</v>
      </c>
      <c r="Q88" s="53">
        <f t="shared" si="6"/>
        <v>166.2</v>
      </c>
      <c r="R88" s="53">
        <f t="shared" si="6"/>
        <v>172.4</v>
      </c>
      <c r="S88" s="53">
        <f t="shared" si="6"/>
        <v>172.4</v>
      </c>
      <c r="T88" s="53">
        <f t="shared" si="6"/>
        <v>172.4</v>
      </c>
      <c r="U88" s="47"/>
      <c r="V88" s="47"/>
      <c r="W88" s="47"/>
      <c r="X88" s="47"/>
      <c r="Y88" s="47"/>
      <c r="Z88" s="53"/>
      <c r="AA88" s="53"/>
      <c r="AB88" s="53"/>
    </row>
    <row r="89" spans="1:32" s="54" customFormat="1" ht="16.5" hidden="1" x14ac:dyDescent="0.3">
      <c r="A89" s="53"/>
      <c r="B89" s="53"/>
      <c r="C89" s="53"/>
      <c r="D89" s="53"/>
      <c r="E89" s="53">
        <v>136</v>
      </c>
      <c r="F89" s="53">
        <v>140.19999999999999</v>
      </c>
      <c r="G89" s="53">
        <v>144.4</v>
      </c>
      <c r="H89" s="53">
        <v>148</v>
      </c>
      <c r="I89" s="53">
        <v>152.5</v>
      </c>
      <c r="J89" s="53">
        <v>156.69999999999999</v>
      </c>
      <c r="K89" s="53">
        <v>160.30000000000001</v>
      </c>
      <c r="L89" s="53">
        <v>163</v>
      </c>
      <c r="M89" s="53">
        <v>166.2</v>
      </c>
      <c r="N89" s="53">
        <v>166.2</v>
      </c>
      <c r="O89" s="53">
        <v>172.4</v>
      </c>
      <c r="P89" s="53">
        <v>172.4</v>
      </c>
      <c r="Q89" s="53">
        <v>172.4</v>
      </c>
      <c r="R89" s="53">
        <v>172.4</v>
      </c>
      <c r="S89" s="53">
        <v>172.4</v>
      </c>
      <c r="T89" s="53">
        <v>172.4</v>
      </c>
      <c r="U89" s="47"/>
      <c r="V89" s="47"/>
      <c r="W89" s="47"/>
      <c r="X89" s="47"/>
      <c r="Y89" s="47"/>
      <c r="Z89" s="53"/>
      <c r="AA89" s="53"/>
      <c r="AB89" s="53"/>
    </row>
    <row r="90" spans="1:32" s="54" customFormat="1" ht="18" hidden="1" customHeight="1" x14ac:dyDescent="0.3">
      <c r="A90" s="53"/>
      <c r="B90" s="84" t="s">
        <v>117</v>
      </c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47"/>
      <c r="V90" s="47"/>
      <c r="W90" s="47"/>
      <c r="X90" s="47"/>
      <c r="Y90" s="47"/>
      <c r="Z90" s="53"/>
      <c r="AA90" s="53"/>
      <c r="AB90" s="53"/>
    </row>
    <row r="91" spans="1:32" s="48" customFormat="1" ht="18" hidden="1" customHeight="1" x14ac:dyDescent="0.3">
      <c r="A91" s="47"/>
      <c r="B91" s="47"/>
      <c r="C91" s="47" t="s">
        <v>106</v>
      </c>
      <c r="D91" s="47"/>
      <c r="E91" s="55"/>
      <c r="F91" s="55"/>
      <c r="G91" s="55"/>
      <c r="H91" s="55"/>
      <c r="I91" s="55"/>
      <c r="J91" s="55"/>
      <c r="K91" s="55"/>
      <c r="L91" s="55"/>
      <c r="M91" s="55">
        <v>3.5000000000000003E-2</v>
      </c>
      <c r="N91" s="55">
        <v>0.05</v>
      </c>
      <c r="O91" s="55">
        <v>6.5000000000000002E-2</v>
      </c>
      <c r="P91" s="55">
        <v>9.8000000000000004E-2</v>
      </c>
      <c r="Q91" s="85">
        <v>0.112</v>
      </c>
      <c r="R91" s="85">
        <v>9.1999999999999998E-2</v>
      </c>
      <c r="S91" s="85">
        <v>8.3000000000000004E-2</v>
      </c>
      <c r="T91" s="85">
        <v>7.1999999999999995E-2</v>
      </c>
      <c r="U91" s="85">
        <v>6.0999999999999999E-2</v>
      </c>
      <c r="V91" s="85">
        <v>6.5000000000000002E-2</v>
      </c>
      <c r="W91" s="85">
        <v>6.4000000000000001E-2</v>
      </c>
      <c r="X91" s="85"/>
      <c r="Y91" s="85"/>
      <c r="Z91" s="85"/>
      <c r="AA91" s="85"/>
      <c r="AB91" s="85"/>
    </row>
    <row r="92" spans="1:32" s="48" customFormat="1" ht="18" hidden="1" customHeight="1" x14ac:dyDescent="0.3">
      <c r="A92" s="47"/>
      <c r="B92" s="47"/>
      <c r="C92" s="47" t="s">
        <v>34</v>
      </c>
      <c r="D92" s="47"/>
      <c r="E92" s="55"/>
      <c r="F92" s="55"/>
      <c r="G92" s="55"/>
      <c r="H92" s="55"/>
      <c r="I92" s="55"/>
      <c r="J92" s="55"/>
      <c r="K92" s="55"/>
      <c r="L92" s="55"/>
      <c r="M92" s="55">
        <v>0.04</v>
      </c>
      <c r="N92" s="55">
        <v>5.0999999999999997E-2</v>
      </c>
      <c r="O92" s="55">
        <v>0.06</v>
      </c>
      <c r="P92" s="85">
        <v>0.09</v>
      </c>
      <c r="Q92" s="85">
        <v>0.111</v>
      </c>
      <c r="R92" s="85">
        <v>9.6000000000000002E-2</v>
      </c>
      <c r="S92" s="85">
        <v>7.8E-2</v>
      </c>
      <c r="T92" s="85">
        <v>7.6999999999999999E-2</v>
      </c>
      <c r="U92" s="85">
        <v>6.9000000000000006E-2</v>
      </c>
      <c r="V92" s="85">
        <v>6.8000000000000005E-2</v>
      </c>
      <c r="W92" s="85">
        <v>6.5000000000000002E-2</v>
      </c>
      <c r="X92" s="85"/>
      <c r="Y92" s="85"/>
      <c r="Z92" s="85"/>
      <c r="AA92" s="85"/>
      <c r="AB92" s="85"/>
    </row>
    <row r="93" spans="1:32" s="48" customFormat="1" ht="18" hidden="1" customHeight="1" x14ac:dyDescent="0.3">
      <c r="A93" s="47"/>
      <c r="B93" s="47"/>
      <c r="C93" s="47" t="s">
        <v>107</v>
      </c>
      <c r="D93" s="47"/>
      <c r="E93" s="55"/>
      <c r="F93" s="55"/>
      <c r="G93" s="55"/>
      <c r="H93" s="55"/>
      <c r="I93" s="55"/>
      <c r="J93" s="55"/>
      <c r="K93" s="55"/>
      <c r="L93" s="55"/>
      <c r="M93" s="55">
        <v>4.4999999999999998E-2</v>
      </c>
      <c r="N93" s="55">
        <v>4.5999999999999999E-2</v>
      </c>
      <c r="O93" s="55">
        <v>6.0999999999999999E-2</v>
      </c>
      <c r="P93" s="85">
        <v>9.2999999999999999E-2</v>
      </c>
      <c r="Q93" s="85">
        <v>9.1999999999999998E-2</v>
      </c>
      <c r="R93" s="85">
        <v>7.3999999999999996E-2</v>
      </c>
      <c r="S93" s="85">
        <v>7.3999999999999996E-2</v>
      </c>
      <c r="T93" s="85">
        <v>6.0999999999999999E-2</v>
      </c>
      <c r="U93" s="85">
        <v>6.0999999999999999E-2</v>
      </c>
      <c r="V93" s="85">
        <v>5.7000000000000002E-2</v>
      </c>
      <c r="W93" s="85">
        <v>6.7000000000000004E-2</v>
      </c>
      <c r="X93" s="85"/>
      <c r="Y93" s="85"/>
      <c r="Z93" s="85"/>
      <c r="AA93" s="85"/>
      <c r="AB93" s="85"/>
    </row>
    <row r="94" spans="1:32" s="48" customFormat="1" ht="18" hidden="1" customHeight="1" x14ac:dyDescent="0.3">
      <c r="A94" s="47"/>
      <c r="B94" s="47"/>
      <c r="C94" s="47" t="s">
        <v>108</v>
      </c>
      <c r="D94" s="47"/>
      <c r="E94" s="55"/>
      <c r="F94" s="55"/>
      <c r="G94" s="55"/>
      <c r="H94" s="55"/>
      <c r="I94" s="55"/>
      <c r="J94" s="55"/>
      <c r="K94" s="55"/>
      <c r="L94" s="55"/>
      <c r="M94" s="55">
        <v>4.8000000000000001E-2</v>
      </c>
      <c r="N94" s="55">
        <v>0.05</v>
      </c>
      <c r="O94" s="55">
        <v>5.8999999999999997E-2</v>
      </c>
      <c r="P94" s="85">
        <v>8.1000000000000003E-2</v>
      </c>
      <c r="Q94" s="85">
        <v>8.8999999999999996E-2</v>
      </c>
      <c r="R94" s="85">
        <v>7.4999999999999997E-2</v>
      </c>
      <c r="S94" s="85">
        <v>6.9000000000000006E-2</v>
      </c>
      <c r="T94" s="85">
        <v>6.2E-2</v>
      </c>
      <c r="U94" s="85">
        <v>6.0999999999999999E-2</v>
      </c>
      <c r="V94" s="85">
        <v>5.5E-2</v>
      </c>
      <c r="W94" s="85">
        <v>5.7000000000000002E-2</v>
      </c>
      <c r="X94" s="92"/>
      <c r="Y94" s="92"/>
      <c r="Z94" s="93" t="s">
        <v>118</v>
      </c>
      <c r="AA94" s="93" t="s">
        <v>118</v>
      </c>
      <c r="AB94" s="93"/>
      <c r="AC94" s="94"/>
      <c r="AD94" s="94"/>
      <c r="AE94" s="94"/>
      <c r="AF94" s="94"/>
    </row>
    <row r="95" spans="1:32" s="48" customFormat="1" ht="6" hidden="1" customHeight="1" x14ac:dyDescent="0.3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 t="s">
        <v>119</v>
      </c>
      <c r="N95" s="47"/>
      <c r="O95" s="47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</row>
    <row r="96" spans="1:32" s="54" customFormat="1" ht="18" hidden="1" customHeight="1" x14ac:dyDescent="0.3">
      <c r="A96" s="53"/>
      <c r="B96" s="84" t="s">
        <v>120</v>
      </c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</row>
    <row r="97" spans="1:28" s="48" customFormat="1" ht="18" hidden="1" customHeight="1" x14ac:dyDescent="0.3">
      <c r="A97" s="47"/>
      <c r="B97" s="47"/>
      <c r="C97" s="47" t="s">
        <v>106</v>
      </c>
      <c r="D97" s="47"/>
      <c r="E97" s="55"/>
      <c r="F97" s="55"/>
      <c r="G97" s="55"/>
      <c r="H97" s="55"/>
      <c r="I97" s="55"/>
      <c r="J97" s="55"/>
      <c r="K97" s="55"/>
      <c r="L97" s="55"/>
      <c r="M97" s="55">
        <v>3.5999999999999997E-2</v>
      </c>
      <c r="N97" s="55">
        <v>4.7E-2</v>
      </c>
      <c r="O97" s="55">
        <v>6.9000000000000006E-2</v>
      </c>
      <c r="P97" s="55">
        <v>0.105</v>
      </c>
      <c r="Q97" s="85">
        <v>0.11600000000000001</v>
      </c>
      <c r="R97" s="85">
        <v>0.09</v>
      </c>
      <c r="S97" s="85">
        <v>7.0999999999999994E-2</v>
      </c>
      <c r="T97" s="85">
        <v>6.8000000000000005E-2</v>
      </c>
      <c r="U97" s="85">
        <v>6.0999999999999999E-2</v>
      </c>
      <c r="V97" s="85">
        <v>6.3E-2</v>
      </c>
      <c r="W97" s="85">
        <v>6.7000000000000004E-2</v>
      </c>
      <c r="X97" s="85"/>
      <c r="Y97" s="85"/>
      <c r="Z97" s="85"/>
      <c r="AA97" s="85"/>
      <c r="AB97" s="85"/>
    </row>
    <row r="98" spans="1:28" s="48" customFormat="1" ht="18" hidden="1" customHeight="1" x14ac:dyDescent="0.3">
      <c r="A98" s="47"/>
      <c r="B98" s="47"/>
      <c r="C98" s="47" t="s">
        <v>34</v>
      </c>
      <c r="D98" s="47"/>
      <c r="E98" s="55"/>
      <c r="F98" s="55"/>
      <c r="G98" s="55"/>
      <c r="H98" s="55"/>
      <c r="I98" s="55"/>
      <c r="J98" s="55"/>
      <c r="K98" s="55"/>
      <c r="L98" s="55"/>
      <c r="M98" s="55">
        <v>4.1000000000000002E-2</v>
      </c>
      <c r="N98" s="55">
        <v>5.1999999999999998E-2</v>
      </c>
      <c r="O98" s="55">
        <v>7.5999999999999998E-2</v>
      </c>
      <c r="P98" s="85">
        <v>9.9000000000000005E-2</v>
      </c>
      <c r="Q98" s="85">
        <v>0.127</v>
      </c>
      <c r="R98" s="85">
        <v>8.5999999999999993E-2</v>
      </c>
      <c r="S98" s="85">
        <v>7.5999999999999998E-2</v>
      </c>
      <c r="T98" s="85">
        <v>6.2E-2</v>
      </c>
      <c r="U98" s="85">
        <v>6.4000000000000001E-2</v>
      </c>
      <c r="V98" s="85">
        <v>0.05</v>
      </c>
      <c r="W98" s="85">
        <v>0.08</v>
      </c>
      <c r="X98" s="85"/>
      <c r="Y98" s="85"/>
      <c r="Z98" s="85"/>
      <c r="AA98" s="85"/>
      <c r="AB98" s="85"/>
    </row>
    <row r="99" spans="1:28" s="48" customFormat="1" ht="18" hidden="1" customHeight="1" x14ac:dyDescent="0.3">
      <c r="A99" s="47"/>
      <c r="B99" s="47"/>
      <c r="C99" s="47" t="s">
        <v>107</v>
      </c>
      <c r="D99" s="47"/>
      <c r="E99" s="55"/>
      <c r="F99" s="55"/>
      <c r="G99" s="55"/>
      <c r="H99" s="55"/>
      <c r="I99" s="55"/>
      <c r="J99" s="55"/>
      <c r="K99" s="55"/>
      <c r="L99" s="55"/>
      <c r="M99" s="55">
        <v>3.7999999999999999E-2</v>
      </c>
      <c r="N99" s="55">
        <v>4.2000000000000003E-2</v>
      </c>
      <c r="O99" s="55">
        <v>6.7000000000000004E-2</v>
      </c>
      <c r="P99" s="85">
        <v>0.09</v>
      </c>
      <c r="Q99" s="85">
        <v>9.5000000000000001E-2</v>
      </c>
      <c r="R99" s="85">
        <v>7.4999999999999997E-2</v>
      </c>
      <c r="S99" s="85">
        <v>6.0999999999999999E-2</v>
      </c>
      <c r="T99" s="85">
        <v>4.2999999999999997E-2</v>
      </c>
      <c r="U99" s="85">
        <v>5.2999999999999999E-2</v>
      </c>
      <c r="V99" s="85">
        <v>5.6000000000000001E-2</v>
      </c>
      <c r="W99" s="85">
        <v>5.8000000000000003E-2</v>
      </c>
      <c r="X99" s="85"/>
      <c r="Y99" s="85"/>
      <c r="Z99" s="85"/>
      <c r="AA99" s="85"/>
      <c r="AB99" s="85"/>
    </row>
    <row r="100" spans="1:28" s="48" customFormat="1" ht="18" hidden="1" customHeight="1" x14ac:dyDescent="0.3">
      <c r="A100" s="47"/>
      <c r="B100" s="47"/>
      <c r="C100" s="47" t="s">
        <v>108</v>
      </c>
      <c r="D100" s="47"/>
      <c r="E100" s="55"/>
      <c r="F100" s="55"/>
      <c r="G100" s="55"/>
      <c r="H100" s="55"/>
      <c r="I100" s="55"/>
      <c r="J100" s="55"/>
      <c r="K100" s="55"/>
      <c r="L100" s="55"/>
      <c r="M100" s="55">
        <v>4.4999999999999998E-2</v>
      </c>
      <c r="N100" s="55">
        <v>4.3999999999999997E-2</v>
      </c>
      <c r="O100" s="55">
        <v>7.0999999999999994E-2</v>
      </c>
      <c r="P100" s="85">
        <v>8.6999999999999994E-2</v>
      </c>
      <c r="Q100" s="85">
        <v>9.9000000000000005E-2</v>
      </c>
      <c r="R100" s="85">
        <v>7.1999999999999995E-2</v>
      </c>
      <c r="S100" s="85">
        <v>5.8000000000000003E-2</v>
      </c>
      <c r="T100" s="85">
        <v>4.5999999999999999E-2</v>
      </c>
      <c r="U100" s="85">
        <v>5.5E-2</v>
      </c>
      <c r="V100" s="85">
        <v>3.6999999999999998E-2</v>
      </c>
      <c r="W100" s="85">
        <v>4.5999999999999999E-2</v>
      </c>
      <c r="X100" s="85"/>
      <c r="Y100" s="85"/>
      <c r="Z100" s="85"/>
      <c r="AA100" s="85"/>
      <c r="AB100" s="85"/>
    </row>
    <row r="101" spans="1:28" s="48" customFormat="1" ht="6" hidden="1" customHeight="1" x14ac:dyDescent="0.3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 t="s">
        <v>119</v>
      </c>
      <c r="N101" s="47"/>
      <c r="O101" s="47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</row>
    <row r="102" spans="1:28" s="54" customFormat="1" ht="18" hidden="1" customHeight="1" x14ac:dyDescent="0.3">
      <c r="A102" s="53"/>
      <c r="B102" s="84" t="s">
        <v>121</v>
      </c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</row>
    <row r="103" spans="1:28" s="48" customFormat="1" ht="18" hidden="1" customHeight="1" x14ac:dyDescent="0.3">
      <c r="A103" s="47"/>
      <c r="B103" s="47"/>
      <c r="C103" s="47" t="s">
        <v>122</v>
      </c>
      <c r="D103" s="47"/>
      <c r="E103" s="55"/>
      <c r="F103" s="55"/>
      <c r="G103" s="55"/>
      <c r="H103" s="55"/>
      <c r="I103" s="55"/>
      <c r="J103" s="55"/>
      <c r="K103" s="55"/>
      <c r="L103" s="55"/>
      <c r="M103" s="55">
        <v>2.9000000000000001E-2</v>
      </c>
      <c r="N103" s="55">
        <v>5.8999999999999997E-2</v>
      </c>
      <c r="O103" s="55">
        <v>4.9000000000000002E-2</v>
      </c>
      <c r="P103" s="55">
        <v>8.8999999999999996E-2</v>
      </c>
      <c r="Q103" s="55">
        <v>8.8999999999999996E-2</v>
      </c>
      <c r="R103" s="55">
        <v>8.1000000000000003E-2</v>
      </c>
      <c r="S103" s="55">
        <v>6.8000000000000005E-2</v>
      </c>
      <c r="T103" s="55">
        <v>5.5E-2</v>
      </c>
      <c r="U103" s="55">
        <v>4.2000000000000003E-2</v>
      </c>
      <c r="V103" s="55">
        <v>4.4999999999999998E-2</v>
      </c>
      <c r="W103" s="55">
        <v>6.2E-2</v>
      </c>
      <c r="X103" s="55"/>
      <c r="Y103" s="55"/>
      <c r="Z103" s="55"/>
      <c r="AA103" s="55"/>
      <c r="AB103" s="55"/>
    </row>
    <row r="104" spans="1:28" s="48" customFormat="1" ht="18" hidden="1" customHeight="1" x14ac:dyDescent="0.3">
      <c r="A104" s="47"/>
      <c r="B104" s="47"/>
      <c r="C104" s="47" t="s">
        <v>123</v>
      </c>
      <c r="D104" s="47"/>
      <c r="E104" s="55"/>
      <c r="F104" s="55"/>
      <c r="G104" s="55"/>
      <c r="H104" s="55"/>
      <c r="I104" s="55"/>
      <c r="J104" s="55"/>
      <c r="K104" s="55"/>
      <c r="L104" s="55"/>
      <c r="M104" s="55">
        <v>4.7E-2</v>
      </c>
      <c r="N104" s="55">
        <v>2.4E-2</v>
      </c>
      <c r="O104" s="55">
        <v>4.2000000000000003E-2</v>
      </c>
      <c r="P104" s="85">
        <v>9.7000000000000003E-2</v>
      </c>
      <c r="Q104" s="85">
        <v>4.9000000000000002E-2</v>
      </c>
      <c r="R104" s="85">
        <v>6.2E-2</v>
      </c>
      <c r="S104" s="85">
        <v>4.8000000000000001E-2</v>
      </c>
      <c r="T104" s="85">
        <v>4.9000000000000002E-2</v>
      </c>
      <c r="U104" s="85">
        <v>3.5999999999999997E-2</v>
      </c>
      <c r="V104" s="85">
        <v>2.8000000000000001E-2</v>
      </c>
      <c r="W104" s="85">
        <v>5.5E-2</v>
      </c>
      <c r="X104" s="85"/>
      <c r="Y104" s="85"/>
      <c r="Z104" s="85"/>
      <c r="AA104" s="85"/>
      <c r="AB104" s="85"/>
    </row>
    <row r="105" spans="1:28" s="48" customFormat="1" ht="6" hidden="1" customHeight="1" x14ac:dyDescent="0.3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</row>
    <row r="106" spans="1:28" s="48" customFormat="1" ht="15" hidden="1" customHeight="1" x14ac:dyDescent="0.3">
      <c r="A106" s="82" t="s">
        <v>124</v>
      </c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</row>
    <row r="107" spans="1:28" s="48" customFormat="1" ht="15" hidden="1" customHeight="1" x14ac:dyDescent="0.3">
      <c r="A107" s="82"/>
    </row>
    <row r="108" spans="1:28" s="48" customFormat="1" ht="15" hidden="1" customHeight="1" x14ac:dyDescent="0.3">
      <c r="A108" s="82"/>
    </row>
    <row r="109" spans="1:28" s="48" customFormat="1" ht="15" hidden="1" customHeight="1" x14ac:dyDescent="0.3">
      <c r="A109" s="82"/>
    </row>
    <row r="110" spans="1:28" s="48" customFormat="1" ht="15" hidden="1" customHeight="1" x14ac:dyDescent="0.3">
      <c r="A110" s="82"/>
    </row>
    <row r="111" spans="1:28" s="48" customFormat="1" ht="15" hidden="1" customHeight="1" x14ac:dyDescent="0.3">
      <c r="A111" s="82"/>
    </row>
    <row r="112" spans="1:28" s="48" customFormat="1" ht="15" hidden="1" customHeight="1" x14ac:dyDescent="0.3">
      <c r="A112" s="82"/>
    </row>
    <row r="113" spans="1:34" s="48" customFormat="1" ht="15" hidden="1" customHeight="1" x14ac:dyDescent="0.3">
      <c r="A113" s="82"/>
    </row>
    <row r="114" spans="1:34" s="48" customFormat="1" ht="15" hidden="1" customHeight="1" x14ac:dyDescent="0.3">
      <c r="A114" s="82"/>
    </row>
    <row r="115" spans="1:34" s="48" customFormat="1" ht="15" hidden="1" customHeight="1" x14ac:dyDescent="0.3">
      <c r="A115" s="82"/>
    </row>
    <row r="116" spans="1:34" s="48" customFormat="1" ht="15" hidden="1" customHeight="1" x14ac:dyDescent="0.3">
      <c r="A116" s="82"/>
    </row>
    <row r="117" spans="1:34" s="44" customFormat="1" ht="16.5" hidden="1" x14ac:dyDescent="0.3">
      <c r="A117" s="42" t="s">
        <v>125</v>
      </c>
      <c r="B117" s="43"/>
      <c r="C117" s="43"/>
    </row>
    <row r="118" spans="1:34" s="48" customFormat="1" ht="16.5" hidden="1" customHeight="1" x14ac:dyDescent="0.3">
      <c r="A118" s="1056" t="s">
        <v>892</v>
      </c>
      <c r="B118" s="1056"/>
      <c r="C118" s="1056"/>
      <c r="D118" s="1056"/>
      <c r="E118" s="1056"/>
      <c r="F118" s="1056"/>
      <c r="G118" s="1056"/>
      <c r="H118" s="1056"/>
      <c r="I118" s="1056"/>
      <c r="J118" s="1056"/>
      <c r="K118" s="1056"/>
      <c r="L118" s="1056"/>
      <c r="M118" s="1056"/>
      <c r="N118" s="1056"/>
      <c r="O118" s="1056"/>
      <c r="P118" s="1056"/>
      <c r="Q118" s="1056"/>
      <c r="R118" s="1056"/>
      <c r="S118" s="1056"/>
      <c r="T118" s="1056"/>
      <c r="U118" s="1056"/>
      <c r="V118" s="1056"/>
      <c r="W118" s="1056"/>
      <c r="X118" s="1056"/>
      <c r="Y118" s="1056"/>
      <c r="Z118" s="1056"/>
      <c r="AA118" s="1056"/>
      <c r="AB118" s="1056"/>
      <c r="AC118" s="1056"/>
      <c r="AD118" s="1056"/>
      <c r="AE118" s="1056"/>
      <c r="AF118" s="1056"/>
    </row>
    <row r="119" spans="1:34" s="48" customFormat="1" ht="6" hidden="1" customHeight="1" x14ac:dyDescent="0.3">
      <c r="A119" s="47"/>
    </row>
    <row r="120" spans="1:34" s="52" customFormat="1" ht="18" hidden="1" customHeight="1" x14ac:dyDescent="0.3">
      <c r="A120" s="49"/>
      <c r="D120" s="64" t="s">
        <v>126</v>
      </c>
      <c r="E120" s="64" t="s">
        <v>84</v>
      </c>
      <c r="F120" s="64" t="s">
        <v>85</v>
      </c>
      <c r="G120" s="64" t="s">
        <v>86</v>
      </c>
      <c r="H120" s="64" t="s">
        <v>87</v>
      </c>
      <c r="I120" s="64" t="s">
        <v>88</v>
      </c>
      <c r="J120" s="64" t="s">
        <v>89</v>
      </c>
      <c r="K120" s="64" t="s">
        <v>90</v>
      </c>
      <c r="L120" s="64" t="s">
        <v>91</v>
      </c>
      <c r="M120" s="64" t="s">
        <v>92</v>
      </c>
      <c r="N120" s="64" t="s">
        <v>93</v>
      </c>
      <c r="O120" s="95" t="s">
        <v>127</v>
      </c>
      <c r="P120" s="107" t="s">
        <v>135</v>
      </c>
      <c r="Q120" s="107" t="s">
        <v>136</v>
      </c>
      <c r="R120" s="107" t="s">
        <v>97</v>
      </c>
      <c r="S120" s="107" t="s">
        <v>98</v>
      </c>
      <c r="T120" s="107" t="s">
        <v>99</v>
      </c>
      <c r="U120" s="107" t="s">
        <v>100</v>
      </c>
      <c r="V120" s="107" t="s">
        <v>101</v>
      </c>
      <c r="W120" s="107" t="s">
        <v>102</v>
      </c>
      <c r="X120" s="107" t="s">
        <v>103</v>
      </c>
      <c r="Y120" s="107" t="s">
        <v>104</v>
      </c>
      <c r="Z120" s="107" t="s">
        <v>146</v>
      </c>
      <c r="AA120" s="107" t="s">
        <v>154</v>
      </c>
      <c r="AB120" s="107" t="s">
        <v>158</v>
      </c>
      <c r="AC120" s="107" t="s">
        <v>224</v>
      </c>
      <c r="AD120" s="107" t="s">
        <v>229</v>
      </c>
      <c r="AE120" s="107" t="s">
        <v>236</v>
      </c>
      <c r="AF120" s="107" t="s">
        <v>533</v>
      </c>
    </row>
    <row r="121" spans="1:34" s="54" customFormat="1" ht="16.5" hidden="1" x14ac:dyDescent="0.3">
      <c r="A121" s="53"/>
      <c r="E121" s="54">
        <v>129.9</v>
      </c>
      <c r="F121" s="54">
        <f t="shared" ref="F121:N121" si="7">+E122</f>
        <v>136</v>
      </c>
      <c r="G121" s="54">
        <f t="shared" si="7"/>
        <v>140.19999999999999</v>
      </c>
      <c r="H121" s="54">
        <f t="shared" si="7"/>
        <v>144.4</v>
      </c>
      <c r="I121" s="54">
        <f t="shared" si="7"/>
        <v>148</v>
      </c>
      <c r="J121" s="54">
        <f t="shared" si="7"/>
        <v>152.5</v>
      </c>
      <c r="K121" s="54">
        <f t="shared" si="7"/>
        <v>156.69999999999999</v>
      </c>
      <c r="L121" s="54">
        <f t="shared" si="7"/>
        <v>160.30000000000001</v>
      </c>
      <c r="M121" s="54">
        <f t="shared" si="7"/>
        <v>163</v>
      </c>
      <c r="N121" s="54">
        <f t="shared" si="7"/>
        <v>166.2</v>
      </c>
      <c r="O121" s="54">
        <f>+L122</f>
        <v>163</v>
      </c>
      <c r="P121" s="54">
        <f>+M122</f>
        <v>166.2</v>
      </c>
      <c r="Q121" s="54">
        <f>+N122</f>
        <v>166.2</v>
      </c>
    </row>
    <row r="122" spans="1:34" s="54" customFormat="1" ht="16.5" hidden="1" x14ac:dyDescent="0.3">
      <c r="A122" s="53"/>
      <c r="E122" s="54">
        <v>136</v>
      </c>
      <c r="F122" s="54">
        <v>140.19999999999999</v>
      </c>
      <c r="G122" s="54">
        <v>144.4</v>
      </c>
      <c r="H122" s="54">
        <v>148</v>
      </c>
      <c r="I122" s="54">
        <v>152.5</v>
      </c>
      <c r="J122" s="54">
        <v>156.69999999999999</v>
      </c>
      <c r="K122" s="54">
        <v>160.30000000000001</v>
      </c>
      <c r="L122" s="54">
        <v>163</v>
      </c>
      <c r="M122" s="54">
        <v>166.2</v>
      </c>
      <c r="N122" s="54">
        <v>166.2</v>
      </c>
      <c r="O122" s="54">
        <v>172.4</v>
      </c>
      <c r="P122" s="54">
        <v>172.4</v>
      </c>
      <c r="Q122" s="54">
        <v>172.4</v>
      </c>
    </row>
    <row r="123" spans="1:34" s="54" customFormat="1" ht="15" hidden="1" customHeight="1" x14ac:dyDescent="0.3">
      <c r="A123" s="53"/>
      <c r="B123" s="96" t="s">
        <v>128</v>
      </c>
      <c r="U123" s="53"/>
      <c r="V123" s="53"/>
      <c r="W123" s="53"/>
      <c r="X123" s="53"/>
      <c r="Y123" s="53"/>
    </row>
    <row r="124" spans="1:34" s="54" customFormat="1" ht="17.100000000000001" hidden="1" customHeight="1" x14ac:dyDescent="0.3">
      <c r="A124" s="53"/>
      <c r="B124" s="96"/>
      <c r="C124" s="54" t="s">
        <v>24</v>
      </c>
      <c r="D124" s="97">
        <v>7.0000000000000007E-2</v>
      </c>
      <c r="E124" s="97">
        <v>0.06</v>
      </c>
      <c r="F124" s="97">
        <v>0.06</v>
      </c>
      <c r="G124" s="97">
        <v>7.0000000000000007E-2</v>
      </c>
      <c r="H124" s="97">
        <v>0.05</v>
      </c>
      <c r="I124" s="97">
        <v>0.06</v>
      </c>
      <c r="J124" s="97">
        <v>0</v>
      </c>
      <c r="K124" s="97">
        <v>3.7999999999999999E-2</v>
      </c>
      <c r="L124" s="97">
        <v>2.7E-2</v>
      </c>
      <c r="M124" s="97">
        <v>0.03</v>
      </c>
      <c r="N124" s="97">
        <v>0.04</v>
      </c>
      <c r="O124" s="97">
        <v>6.7500000000000004E-2</v>
      </c>
      <c r="P124" s="97">
        <v>9.6000000000000002E-2</v>
      </c>
      <c r="Q124" s="97">
        <v>0.115</v>
      </c>
      <c r="R124" s="97">
        <v>0.10009999999999999</v>
      </c>
      <c r="S124" s="97">
        <v>7.8775267538644472E-2</v>
      </c>
      <c r="T124" s="97">
        <v>9.5000000000000001E-2</v>
      </c>
      <c r="U124" s="55">
        <v>7.4999999999999997E-2</v>
      </c>
      <c r="V124" s="97">
        <v>0.06</v>
      </c>
      <c r="W124" s="97">
        <v>9.5000000000000001E-2</v>
      </c>
      <c r="X124" s="97">
        <v>9.5000000000000001E-2</v>
      </c>
      <c r="Y124" s="97">
        <v>7.8E-2</v>
      </c>
      <c r="Z124" s="97">
        <v>0.06</v>
      </c>
      <c r="AA124" s="97">
        <v>0.05</v>
      </c>
      <c r="AB124" s="97">
        <v>5.8000000000000003E-2</v>
      </c>
      <c r="AC124" s="97">
        <v>3.5000000000000003E-2</v>
      </c>
      <c r="AD124" s="97">
        <v>3.9E-2</v>
      </c>
      <c r="AE124" s="97">
        <v>3.9E-2</v>
      </c>
      <c r="AF124" s="97">
        <v>3.9E-2</v>
      </c>
    </row>
    <row r="125" spans="1:34" s="54" customFormat="1" ht="17.100000000000001" hidden="1" customHeight="1" x14ac:dyDescent="0.3">
      <c r="A125" s="53"/>
      <c r="B125" s="96"/>
      <c r="C125" s="54" t="s">
        <v>18</v>
      </c>
      <c r="D125" s="97">
        <v>7.0000000000000007E-2</v>
      </c>
      <c r="E125" s="97">
        <v>0.06</v>
      </c>
      <c r="F125" s="97">
        <v>0.06</v>
      </c>
      <c r="G125" s="97">
        <v>7.0000000000000007E-2</v>
      </c>
      <c r="H125" s="97">
        <v>7.0000000000000007E-2</v>
      </c>
      <c r="I125" s="97">
        <v>0.06</v>
      </c>
      <c r="J125" s="97">
        <v>0</v>
      </c>
      <c r="K125" s="97">
        <v>3.7999999999999999E-2</v>
      </c>
      <c r="L125" s="97">
        <v>2.7E-2</v>
      </c>
      <c r="M125" s="97">
        <v>0.03</v>
      </c>
      <c r="N125" s="97">
        <v>0.04</v>
      </c>
      <c r="O125" s="97">
        <v>0.09</v>
      </c>
      <c r="P125" s="97">
        <v>9.5000000000000001E-2</v>
      </c>
      <c r="Q125" s="97">
        <v>9.5000000000000001E-2</v>
      </c>
      <c r="R125" s="97">
        <v>7.0000000000000007E-2</v>
      </c>
      <c r="S125" s="97">
        <v>9.7569692637598279E-2</v>
      </c>
      <c r="T125" s="97">
        <v>0.08</v>
      </c>
      <c r="U125" s="55">
        <v>7.0000000000000007E-2</v>
      </c>
      <c r="V125" s="97">
        <v>0.06</v>
      </c>
      <c r="W125" s="97">
        <v>5.5E-2</v>
      </c>
      <c r="X125" s="97">
        <v>7.4999999999999997E-2</v>
      </c>
      <c r="Y125" s="97">
        <v>0.09</v>
      </c>
      <c r="Z125" s="97">
        <v>0.06</v>
      </c>
      <c r="AA125" s="97">
        <v>0.05</v>
      </c>
      <c r="AB125" s="97">
        <v>5.5E-2</v>
      </c>
      <c r="AC125" s="55">
        <v>0.03</v>
      </c>
      <c r="AD125" s="55">
        <v>3.5000000000000003E-2</v>
      </c>
      <c r="AE125" s="55">
        <v>0.05</v>
      </c>
      <c r="AF125" s="55">
        <v>3.9E-2</v>
      </c>
      <c r="AH125" s="154"/>
    </row>
    <row r="126" spans="1:34" s="54" customFormat="1" ht="17.100000000000001" hidden="1" customHeight="1" x14ac:dyDescent="0.3">
      <c r="A126" s="53"/>
      <c r="B126" s="96"/>
      <c r="C126" s="54" t="s">
        <v>5</v>
      </c>
      <c r="D126" s="97">
        <v>7.0000000000000007E-2</v>
      </c>
      <c r="E126" s="97">
        <v>0.06</v>
      </c>
      <c r="F126" s="97">
        <v>0.06</v>
      </c>
      <c r="G126" s="97">
        <v>7.0000000000000007E-2</v>
      </c>
      <c r="H126" s="97">
        <v>7.0000000000000007E-2</v>
      </c>
      <c r="I126" s="97">
        <v>0.06</v>
      </c>
      <c r="J126" s="97">
        <v>0</v>
      </c>
      <c r="K126" s="97">
        <v>3.7999999999999999E-2</v>
      </c>
      <c r="L126" s="97">
        <v>2.7E-2</v>
      </c>
      <c r="M126" s="97">
        <v>0.03</v>
      </c>
      <c r="N126" s="97">
        <v>0.04</v>
      </c>
      <c r="O126" s="97">
        <v>7.0000000000000007E-2</v>
      </c>
      <c r="P126" s="97">
        <v>0.09</v>
      </c>
      <c r="Q126" s="97">
        <v>9.4600000000000004E-2</v>
      </c>
      <c r="R126" s="97">
        <v>0.10050000000000001</v>
      </c>
      <c r="S126" s="97">
        <v>9.7696245733788392E-2</v>
      </c>
      <c r="T126" s="97">
        <v>8.5000000000000006E-2</v>
      </c>
      <c r="U126" s="55">
        <v>7.0000000000000007E-2</v>
      </c>
      <c r="V126" s="97">
        <v>5.5E-2</v>
      </c>
      <c r="W126" s="97">
        <v>6.5000000000000002E-2</v>
      </c>
      <c r="X126" s="97">
        <v>0.06</v>
      </c>
      <c r="Y126" s="97">
        <v>0.06</v>
      </c>
      <c r="Z126" s="97">
        <v>0.05</v>
      </c>
      <c r="AA126" s="97">
        <v>0.05</v>
      </c>
      <c r="AB126" s="97">
        <v>0.04</v>
      </c>
      <c r="AC126" s="55">
        <v>0.03</v>
      </c>
      <c r="AD126" s="55">
        <v>3.5000000000000003E-2</v>
      </c>
      <c r="AE126" s="55">
        <v>3.5000000000000003E-2</v>
      </c>
      <c r="AF126" s="55">
        <v>2.5000000000000001E-2</v>
      </c>
    </row>
    <row r="127" spans="1:34" s="54" customFormat="1" ht="17.100000000000001" hidden="1" customHeight="1" x14ac:dyDescent="0.3">
      <c r="A127" s="53"/>
      <c r="B127" s="96"/>
      <c r="C127" s="54" t="s">
        <v>6</v>
      </c>
      <c r="D127" s="97">
        <v>7.0000000000000007E-2</v>
      </c>
      <c r="E127" s="97">
        <v>0.06</v>
      </c>
      <c r="F127" s="97">
        <v>0.06</v>
      </c>
      <c r="G127" s="97">
        <v>7.0000000000000007E-2</v>
      </c>
      <c r="H127" s="97">
        <v>7.0000000000000007E-2</v>
      </c>
      <c r="I127" s="97">
        <v>0.06</v>
      </c>
      <c r="J127" s="97">
        <v>0</v>
      </c>
      <c r="K127" s="97">
        <v>3.7999999999999999E-2</v>
      </c>
      <c r="L127" s="97">
        <v>2.7E-2</v>
      </c>
      <c r="M127" s="97">
        <v>0.03</v>
      </c>
      <c r="N127" s="97">
        <v>5.8000000000000003E-2</v>
      </c>
      <c r="O127" s="97">
        <v>7.4999999999999997E-2</v>
      </c>
      <c r="P127" s="97">
        <v>0.09</v>
      </c>
      <c r="Q127" s="97">
        <v>0.23519999999999999</v>
      </c>
      <c r="R127" s="97">
        <v>0.10979999999999999</v>
      </c>
      <c r="S127" s="97">
        <v>9.5054095826893351E-2</v>
      </c>
      <c r="T127" s="97">
        <v>0.08</v>
      </c>
      <c r="U127" s="55">
        <v>7.0000000000000007E-2</v>
      </c>
      <c r="V127" s="97">
        <v>7.0000000000000007E-2</v>
      </c>
      <c r="W127" s="97">
        <v>6.5000000000000002E-2</v>
      </c>
      <c r="X127" s="97">
        <v>0.125</v>
      </c>
      <c r="Y127" s="97">
        <v>0.11</v>
      </c>
      <c r="Z127" s="97">
        <v>6.5000000000000002E-2</v>
      </c>
      <c r="AA127" s="97">
        <v>0.05</v>
      </c>
      <c r="AB127" s="97">
        <v>0.04</v>
      </c>
      <c r="AC127" s="55">
        <v>0.03</v>
      </c>
      <c r="AD127" s="55">
        <v>3.5000000000000003E-2</v>
      </c>
      <c r="AE127" s="55">
        <v>2.5000000000000001E-2</v>
      </c>
      <c r="AF127" s="55">
        <v>1.4999999999999999E-2</v>
      </c>
    </row>
    <row r="128" spans="1:34" s="54" customFormat="1" ht="17.100000000000001" hidden="1" customHeight="1" x14ac:dyDescent="0.3">
      <c r="A128" s="53"/>
      <c r="B128" s="96"/>
      <c r="C128" s="54" t="s">
        <v>7</v>
      </c>
      <c r="D128" s="97">
        <v>0.03</v>
      </c>
      <c r="E128" s="97">
        <v>0.04</v>
      </c>
      <c r="F128" s="97">
        <v>0.04</v>
      </c>
      <c r="G128" s="97">
        <v>0.04</v>
      </c>
      <c r="H128" s="97">
        <v>5.7599999999999998E-2</v>
      </c>
      <c r="I128" s="97">
        <v>0.05</v>
      </c>
      <c r="J128" s="97">
        <v>0</v>
      </c>
      <c r="K128" s="97">
        <v>3.7999999999999999E-2</v>
      </c>
      <c r="L128" s="97">
        <v>2.7E-2</v>
      </c>
      <c r="M128" s="97">
        <v>0.03</v>
      </c>
      <c r="N128" s="97">
        <v>0.04</v>
      </c>
      <c r="O128" s="97">
        <v>5.5E-2</v>
      </c>
      <c r="P128" s="97">
        <v>9.5000000000000001E-2</v>
      </c>
      <c r="Q128" s="97">
        <v>9.4200000000000006E-2</v>
      </c>
      <c r="R128" s="97">
        <v>9.0499999999999997E-2</v>
      </c>
      <c r="S128" s="97">
        <v>9.5046854082998664E-2</v>
      </c>
      <c r="T128" s="97">
        <v>0.09</v>
      </c>
      <c r="U128" s="55">
        <v>5.5E-2</v>
      </c>
      <c r="V128" s="97">
        <v>4.4999999999999998E-2</v>
      </c>
      <c r="W128" s="97">
        <v>9.5000000000000001E-2</v>
      </c>
      <c r="X128" s="97">
        <v>9.5000000000000001E-2</v>
      </c>
      <c r="Y128" s="97">
        <v>7.0000000000000007E-2</v>
      </c>
      <c r="Z128" s="97">
        <v>7.0000000000000007E-2</v>
      </c>
      <c r="AA128" s="97">
        <v>0.05</v>
      </c>
      <c r="AB128" s="97">
        <v>0.06</v>
      </c>
      <c r="AC128" s="55">
        <v>0.03</v>
      </c>
      <c r="AD128" s="55">
        <v>3.5000000000000003E-2</v>
      </c>
      <c r="AE128" s="55">
        <v>2.5000000000000001E-2</v>
      </c>
      <c r="AF128" s="55">
        <v>1.4999999999999999E-2</v>
      </c>
    </row>
    <row r="129" spans="1:32" s="54" customFormat="1" ht="17.100000000000001" hidden="1" customHeight="1" x14ac:dyDescent="0.3">
      <c r="A129" s="53"/>
      <c r="B129" s="96"/>
      <c r="C129" s="54" t="s">
        <v>145</v>
      </c>
      <c r="D129" s="97">
        <v>0.03</v>
      </c>
      <c r="E129" s="97">
        <v>0.03</v>
      </c>
      <c r="F129" s="97">
        <v>0.03</v>
      </c>
      <c r="G129" s="97">
        <v>0.04</v>
      </c>
      <c r="H129" s="97">
        <v>0.04</v>
      </c>
      <c r="I129" s="97">
        <v>0</v>
      </c>
      <c r="J129" s="97">
        <v>0</v>
      </c>
      <c r="K129" s="97">
        <v>3.7999999999999999E-2</v>
      </c>
      <c r="L129" s="97">
        <v>2.7E-2</v>
      </c>
      <c r="M129" s="97">
        <v>0.03</v>
      </c>
      <c r="N129" s="97">
        <v>0.04</v>
      </c>
      <c r="O129" s="97">
        <v>5.5E-2</v>
      </c>
      <c r="P129" s="97">
        <v>0.05</v>
      </c>
      <c r="Q129" s="97">
        <v>7.2700000000000001E-2</v>
      </c>
      <c r="R129" s="97">
        <v>7.6300000000000007E-2</v>
      </c>
      <c r="S129" s="97">
        <v>5.1181102362204724E-2</v>
      </c>
      <c r="T129" s="97">
        <v>0.311</v>
      </c>
      <c r="U129" s="55">
        <v>0.09</v>
      </c>
      <c r="V129" s="97">
        <v>6.5000000000000002E-2</v>
      </c>
      <c r="W129" s="97">
        <v>8.1000000000000003E-2</v>
      </c>
      <c r="X129" s="97">
        <v>0.114</v>
      </c>
      <c r="Y129" s="97">
        <v>0.11799999999999999</v>
      </c>
      <c r="Z129" s="97">
        <v>5.5E-2</v>
      </c>
      <c r="AA129" s="97">
        <v>0.05</v>
      </c>
      <c r="AB129" s="97">
        <v>0.04</v>
      </c>
      <c r="AC129" s="55">
        <v>0.03</v>
      </c>
      <c r="AD129" s="55">
        <v>0.05</v>
      </c>
      <c r="AE129" s="55">
        <v>0.05</v>
      </c>
      <c r="AF129" s="55">
        <v>3.5000000000000003E-2</v>
      </c>
    </row>
    <row r="130" spans="1:32" s="48" customFormat="1" ht="17.100000000000001" hidden="1" customHeight="1" x14ac:dyDescent="0.3">
      <c r="A130" s="47"/>
      <c r="C130" s="48" t="s">
        <v>8</v>
      </c>
      <c r="D130" s="97">
        <v>0.03</v>
      </c>
      <c r="E130" s="97">
        <v>0.04</v>
      </c>
      <c r="F130" s="97">
        <v>0.04</v>
      </c>
      <c r="G130" s="97">
        <v>0.04</v>
      </c>
      <c r="H130" s="97">
        <v>0.04</v>
      </c>
      <c r="I130" s="97">
        <v>0.03</v>
      </c>
      <c r="J130" s="97">
        <v>0</v>
      </c>
      <c r="K130" s="97">
        <v>3.7999999999999999E-2</v>
      </c>
      <c r="L130" s="97">
        <v>2.7E-2</v>
      </c>
      <c r="M130" s="97">
        <v>0.03</v>
      </c>
      <c r="N130" s="97">
        <v>0.04</v>
      </c>
      <c r="O130" s="97">
        <v>0.125</v>
      </c>
      <c r="P130" s="97">
        <v>0.19500000000000001</v>
      </c>
      <c r="Q130" s="97">
        <v>0.1249</v>
      </c>
      <c r="R130" s="97">
        <v>0.14480000000000001</v>
      </c>
      <c r="S130" s="97">
        <v>8.7689713322091065E-2</v>
      </c>
      <c r="T130" s="97">
        <v>0.09</v>
      </c>
      <c r="U130" s="55">
        <v>6.7000000000000004E-2</v>
      </c>
      <c r="V130" s="97">
        <v>6.3E-2</v>
      </c>
      <c r="W130" s="97">
        <v>8.6999999999999994E-2</v>
      </c>
      <c r="X130" s="97">
        <v>0.06</v>
      </c>
      <c r="Y130" s="97">
        <v>7.3999999999999996E-2</v>
      </c>
      <c r="Z130" s="97">
        <v>4.4999999999999998E-2</v>
      </c>
      <c r="AA130" s="97">
        <v>0.06</v>
      </c>
      <c r="AB130" s="97">
        <v>0.04</v>
      </c>
      <c r="AC130" s="55">
        <v>0.03</v>
      </c>
      <c r="AD130" s="55">
        <v>3.5000000000000003E-2</v>
      </c>
      <c r="AE130" s="55">
        <v>2.5000000000000001E-2</v>
      </c>
      <c r="AF130" s="55">
        <v>1.4999999999999999E-2</v>
      </c>
    </row>
    <row r="131" spans="1:32" s="48" customFormat="1" ht="17.100000000000001" hidden="1" customHeight="1" x14ac:dyDescent="0.3">
      <c r="A131" s="47"/>
      <c r="C131" s="48" t="s">
        <v>9</v>
      </c>
      <c r="D131" s="97">
        <v>0.03</v>
      </c>
      <c r="E131" s="97">
        <v>0.03</v>
      </c>
      <c r="F131" s="97">
        <v>0.03</v>
      </c>
      <c r="G131" s="97">
        <v>0.04</v>
      </c>
      <c r="H131" s="97">
        <v>0.04</v>
      </c>
      <c r="I131" s="97">
        <v>0.03</v>
      </c>
      <c r="J131" s="97">
        <v>0</v>
      </c>
      <c r="K131" s="97">
        <v>3.7999999999999999E-2</v>
      </c>
      <c r="L131" s="97">
        <v>2.7E-2</v>
      </c>
      <c r="M131" s="97">
        <v>0.03</v>
      </c>
      <c r="N131" s="97">
        <v>0.04</v>
      </c>
      <c r="O131" s="97">
        <v>5.5E-2</v>
      </c>
      <c r="P131" s="97">
        <v>0.09</v>
      </c>
      <c r="Q131" s="97">
        <v>8.5000000000000006E-2</v>
      </c>
      <c r="R131" s="97">
        <v>7.9600000000000004E-2</v>
      </c>
      <c r="S131" s="97">
        <v>7.4235807860262015E-2</v>
      </c>
      <c r="T131" s="97">
        <v>0.04</v>
      </c>
      <c r="U131" s="55">
        <v>0.06</v>
      </c>
      <c r="V131" s="97">
        <v>5.3999999999999999E-2</v>
      </c>
      <c r="W131" s="97">
        <v>0.04</v>
      </c>
      <c r="X131" s="97">
        <v>0.06</v>
      </c>
      <c r="Y131" s="97">
        <v>0.05</v>
      </c>
      <c r="Z131" s="97">
        <v>4.4999999999999998E-2</v>
      </c>
      <c r="AA131" s="97">
        <v>0.06</v>
      </c>
      <c r="AB131" s="97">
        <v>0.04</v>
      </c>
      <c r="AC131" s="55">
        <v>0.03</v>
      </c>
      <c r="AD131" s="55">
        <v>3.5000000000000003E-2</v>
      </c>
      <c r="AE131" s="55">
        <v>2.5000000000000001E-2</v>
      </c>
      <c r="AF131" s="55">
        <v>1.4999999999999999E-2</v>
      </c>
    </row>
    <row r="132" spans="1:32" s="48" customFormat="1" ht="17.100000000000001" hidden="1" customHeight="1" x14ac:dyDescent="0.3">
      <c r="A132" s="47"/>
      <c r="C132" s="48" t="s">
        <v>129</v>
      </c>
      <c r="D132" s="97">
        <f>SUM(D124:D131)/8</f>
        <v>5.0000000000000017E-2</v>
      </c>
      <c r="E132" s="97">
        <f t="shared" ref="E132:AE132" si="8">SUM(E124:E131)/8</f>
        <v>4.7499999999999987E-2</v>
      </c>
      <c r="F132" s="97">
        <f t="shared" si="8"/>
        <v>4.7499999999999987E-2</v>
      </c>
      <c r="G132" s="97">
        <f t="shared" si="8"/>
        <v>5.4999999999999993E-2</v>
      </c>
      <c r="H132" s="97">
        <f t="shared" si="8"/>
        <v>5.4699999999999992E-2</v>
      </c>
      <c r="I132" s="97">
        <f t="shared" si="8"/>
        <v>4.3749999999999997E-2</v>
      </c>
      <c r="J132" s="97">
        <f t="shared" si="8"/>
        <v>0</v>
      </c>
      <c r="K132" s="97">
        <f t="shared" si="8"/>
        <v>3.7999999999999999E-2</v>
      </c>
      <c r="L132" s="97">
        <f t="shared" si="8"/>
        <v>2.7E-2</v>
      </c>
      <c r="M132" s="97">
        <f t="shared" si="8"/>
        <v>0.03</v>
      </c>
      <c r="N132" s="97">
        <f t="shared" si="8"/>
        <v>4.2249999999999996E-2</v>
      </c>
      <c r="O132" s="97">
        <f t="shared" si="8"/>
        <v>7.4062500000000003E-2</v>
      </c>
      <c r="P132" s="97">
        <f t="shared" si="8"/>
        <v>0.10012500000000001</v>
      </c>
      <c r="Q132" s="97">
        <f t="shared" si="8"/>
        <v>0.11457500000000001</v>
      </c>
      <c r="R132" s="97">
        <f t="shared" si="8"/>
        <v>9.6450000000000008E-2</v>
      </c>
      <c r="S132" s="97">
        <f t="shared" si="8"/>
        <v>8.4656097420560128E-2</v>
      </c>
      <c r="T132" s="97">
        <f t="shared" si="8"/>
        <v>0.10887500000000001</v>
      </c>
      <c r="U132" s="97">
        <f t="shared" si="8"/>
        <v>6.9625000000000006E-2</v>
      </c>
      <c r="V132" s="97">
        <f t="shared" si="8"/>
        <v>5.8999999999999997E-2</v>
      </c>
      <c r="W132" s="97">
        <f t="shared" si="8"/>
        <v>7.2875000000000009E-2</v>
      </c>
      <c r="X132" s="97">
        <f t="shared" si="8"/>
        <v>8.5499999999999993E-2</v>
      </c>
      <c r="Y132" s="97">
        <f t="shared" si="8"/>
        <v>8.1250000000000003E-2</v>
      </c>
      <c r="Z132" s="97">
        <f t="shared" si="8"/>
        <v>5.6249999999999994E-2</v>
      </c>
      <c r="AA132" s="97">
        <f t="shared" si="8"/>
        <v>5.2499999999999998E-2</v>
      </c>
      <c r="AB132" s="97">
        <f t="shared" si="8"/>
        <v>4.6624999999999993E-2</v>
      </c>
      <c r="AC132" s="97">
        <f t="shared" si="8"/>
        <v>3.0624999999999999E-2</v>
      </c>
      <c r="AD132" s="97">
        <f t="shared" si="8"/>
        <v>3.7375000000000005E-2</v>
      </c>
      <c r="AE132" s="97">
        <f t="shared" si="8"/>
        <v>3.4249999999999996E-2</v>
      </c>
      <c r="AF132" s="97">
        <f t="shared" ref="AF132" si="9">SUM(AF124:AF131)/8</f>
        <v>2.4750000000000001E-2</v>
      </c>
    </row>
    <row r="133" spans="1:32" s="48" customFormat="1" ht="17.100000000000001" hidden="1" customHeight="1" x14ac:dyDescent="0.3">
      <c r="A133" s="47"/>
      <c r="C133" s="48" t="s">
        <v>130</v>
      </c>
      <c r="D133" s="97">
        <f>SUM(D125:D132)/9</f>
        <v>4.2222222222222237E-2</v>
      </c>
      <c r="E133" s="97">
        <f>SUM(E125:E132)/9</f>
        <v>4.0833333333333326E-2</v>
      </c>
      <c r="F133" s="97">
        <f>SUM(F125:F132)/9</f>
        <v>4.0833333333333326E-2</v>
      </c>
      <c r="G133" s="97"/>
      <c r="H133" s="97"/>
      <c r="I133" s="97"/>
      <c r="J133" s="97"/>
      <c r="K133" s="97"/>
      <c r="L133" s="97"/>
      <c r="M133" s="97"/>
      <c r="N133" s="97"/>
      <c r="O133" s="97">
        <v>5.5E-2</v>
      </c>
      <c r="P133" s="97">
        <v>0.04</v>
      </c>
      <c r="Q133" s="97">
        <v>4.4999999999999998E-2</v>
      </c>
      <c r="R133" s="97">
        <v>0.03</v>
      </c>
      <c r="S133" s="97">
        <v>3.5000000000000003E-2</v>
      </c>
      <c r="T133" s="97">
        <v>0.04</v>
      </c>
      <c r="U133" s="55">
        <v>0.04</v>
      </c>
      <c r="V133" s="97">
        <v>3.5000000000000003E-2</v>
      </c>
      <c r="W133" s="97">
        <v>0.01</v>
      </c>
      <c r="X133" s="97">
        <v>1.4999999999999999E-2</v>
      </c>
      <c r="Y133" s="55">
        <v>0.05</v>
      </c>
      <c r="Z133" s="55">
        <v>4.4999999999999998E-2</v>
      </c>
      <c r="AA133" s="55">
        <v>0.05</v>
      </c>
      <c r="AB133" s="55">
        <v>0.04</v>
      </c>
      <c r="AC133" s="55">
        <v>0.03</v>
      </c>
      <c r="AD133" s="55">
        <v>3.5000000000000003E-2</v>
      </c>
      <c r="AE133" s="55">
        <v>2.5000000000000001E-2</v>
      </c>
      <c r="AF133" s="55">
        <v>1.4999999999999999E-2</v>
      </c>
    </row>
    <row r="134" spans="1:32" s="48" customFormat="1" ht="15" hidden="1" customHeight="1" x14ac:dyDescent="0.3">
      <c r="A134" s="47"/>
      <c r="B134" s="96" t="s">
        <v>131</v>
      </c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55"/>
      <c r="V134" s="55"/>
      <c r="W134" s="55"/>
      <c r="X134" s="97"/>
      <c r="Y134" s="97"/>
      <c r="Z134" s="97"/>
      <c r="AA134" s="151"/>
      <c r="AB134" s="151"/>
      <c r="AC134" s="151"/>
      <c r="AD134" s="151"/>
      <c r="AE134" s="151"/>
      <c r="AF134" s="151"/>
    </row>
    <row r="135" spans="1:32" s="54" customFormat="1" ht="17.100000000000001" hidden="1" customHeight="1" x14ac:dyDescent="0.3">
      <c r="A135" s="53"/>
      <c r="B135" s="96"/>
      <c r="C135" s="54" t="s">
        <v>24</v>
      </c>
      <c r="D135" s="97">
        <v>7.0000000000000007E-2</v>
      </c>
      <c r="E135" s="97">
        <v>6.2E-2</v>
      </c>
      <c r="F135" s="97">
        <v>8.2000000000000003E-2</v>
      </c>
      <c r="G135" s="97">
        <v>0.114</v>
      </c>
      <c r="H135" s="97">
        <v>7.5999999999999998E-2</v>
      </c>
      <c r="I135" s="97">
        <v>6.0999999999999999E-2</v>
      </c>
      <c r="J135" s="97">
        <v>0</v>
      </c>
      <c r="K135" s="97">
        <v>3.7999999999999999E-2</v>
      </c>
      <c r="L135" s="97">
        <v>2.7E-2</v>
      </c>
      <c r="M135" s="97">
        <v>0.03</v>
      </c>
      <c r="N135" s="97">
        <v>0.04</v>
      </c>
      <c r="O135" s="97">
        <v>6.7500000000000004E-2</v>
      </c>
      <c r="P135" s="97">
        <v>9.6000000000000002E-2</v>
      </c>
      <c r="Q135" s="97">
        <v>0.115</v>
      </c>
      <c r="R135" s="97">
        <v>0.1</v>
      </c>
      <c r="S135" s="97">
        <v>7.873280108714116E-2</v>
      </c>
      <c r="T135" s="97">
        <v>9.5000000000000001E-2</v>
      </c>
      <c r="U135" s="55">
        <v>7.4999999999999997E-2</v>
      </c>
      <c r="V135" s="97">
        <v>0.06</v>
      </c>
      <c r="W135" s="97">
        <v>9.5000000000000001E-2</v>
      </c>
      <c r="X135" s="97">
        <v>9.5000000000000001E-2</v>
      </c>
      <c r="Y135" s="97">
        <v>7.8E-2</v>
      </c>
      <c r="Z135" s="97">
        <v>0.06</v>
      </c>
      <c r="AA135" s="97">
        <v>6.3E-2</v>
      </c>
      <c r="AB135" s="97">
        <v>5.8000000000000003E-2</v>
      </c>
      <c r="AC135" s="97">
        <v>3.5000000000000003E-2</v>
      </c>
      <c r="AD135" s="97">
        <v>3.9E-2</v>
      </c>
      <c r="AE135" s="97">
        <v>3.9E-2</v>
      </c>
      <c r="AF135" s="97">
        <v>3.9E-2</v>
      </c>
    </row>
    <row r="136" spans="1:32" s="54" customFormat="1" ht="17.100000000000001" hidden="1" customHeight="1" x14ac:dyDescent="0.3">
      <c r="A136" s="53"/>
      <c r="B136" s="96"/>
      <c r="C136" s="54" t="s">
        <v>18</v>
      </c>
      <c r="D136" s="97">
        <v>7.0000000000000007E-2</v>
      </c>
      <c r="E136" s="97">
        <v>0.06</v>
      </c>
      <c r="F136" s="97">
        <v>0.06</v>
      </c>
      <c r="G136" s="97">
        <v>0.127</v>
      </c>
      <c r="H136" s="97">
        <v>0.113</v>
      </c>
      <c r="I136" s="97">
        <v>-0.02</v>
      </c>
      <c r="J136" s="97">
        <v>5.6000000000000001E-2</v>
      </c>
      <c r="K136" s="97">
        <v>3.7999999999999999E-2</v>
      </c>
      <c r="L136" s="97">
        <v>2.7E-2</v>
      </c>
      <c r="M136" s="97">
        <v>0.03</v>
      </c>
      <c r="N136" s="97">
        <v>0.04</v>
      </c>
      <c r="O136" s="97">
        <v>0.09</v>
      </c>
      <c r="P136" s="97">
        <v>0.09</v>
      </c>
      <c r="Q136" s="97">
        <v>9.5000000000000001E-2</v>
      </c>
      <c r="R136" s="97">
        <v>7.0000000000000007E-2</v>
      </c>
      <c r="S136" s="97">
        <v>9.7458097458097456E-2</v>
      </c>
      <c r="T136" s="97">
        <v>0.08</v>
      </c>
      <c r="U136" s="55">
        <v>7.0000000000000007E-2</v>
      </c>
      <c r="V136" s="97">
        <v>0.06</v>
      </c>
      <c r="W136" s="97">
        <v>5.5E-2</v>
      </c>
      <c r="X136" s="97">
        <v>7.4999999999999997E-2</v>
      </c>
      <c r="Y136" s="97">
        <v>0.09</v>
      </c>
      <c r="Z136" s="97">
        <v>0.06</v>
      </c>
      <c r="AA136" s="97">
        <v>0.05</v>
      </c>
      <c r="AB136" s="97">
        <v>5.5E-2</v>
      </c>
      <c r="AC136" s="97">
        <v>0.03</v>
      </c>
      <c r="AD136" s="97">
        <v>3.5000000000000003E-2</v>
      </c>
      <c r="AE136" s="97">
        <v>0.05</v>
      </c>
      <c r="AF136" s="55">
        <v>3.9E-2</v>
      </c>
    </row>
    <row r="137" spans="1:32" s="54" customFormat="1" ht="17.100000000000001" hidden="1" customHeight="1" x14ac:dyDescent="0.3">
      <c r="A137" s="53"/>
      <c r="B137" s="96"/>
      <c r="C137" s="54" t="s">
        <v>5</v>
      </c>
      <c r="D137" s="97">
        <v>0.06</v>
      </c>
      <c r="E137" s="97">
        <v>0.06</v>
      </c>
      <c r="F137" s="97">
        <v>0.1</v>
      </c>
      <c r="G137" s="97">
        <v>0.13100000000000001</v>
      </c>
      <c r="H137" s="97">
        <v>0.14000000000000001</v>
      </c>
      <c r="I137" s="97">
        <v>0</v>
      </c>
      <c r="J137" s="97">
        <v>0</v>
      </c>
      <c r="K137" s="97">
        <v>3.2000000000000001E-2</v>
      </c>
      <c r="L137" s="97">
        <v>2.8000000000000001E-2</v>
      </c>
      <c r="M137" s="97">
        <v>0.03</v>
      </c>
      <c r="N137" s="97">
        <v>0.04</v>
      </c>
      <c r="O137" s="97">
        <v>7.0000000000000007E-2</v>
      </c>
      <c r="P137" s="97">
        <v>7.0000000000000007E-2</v>
      </c>
      <c r="Q137" s="97">
        <v>9.4500000000000001E-2</v>
      </c>
      <c r="R137" s="97">
        <v>0.1003</v>
      </c>
      <c r="S137" s="97">
        <v>9.7879083373963921E-2</v>
      </c>
      <c r="T137" s="97">
        <v>8.5000000000000006E-2</v>
      </c>
      <c r="U137" s="55">
        <v>7.0000000000000007E-2</v>
      </c>
      <c r="V137" s="263">
        <v>0</v>
      </c>
      <c r="W137" s="97">
        <v>3.5000000000000003E-2</v>
      </c>
      <c r="X137" s="97">
        <v>0.03</v>
      </c>
      <c r="Y137" s="97">
        <v>0.03</v>
      </c>
      <c r="Z137" s="97">
        <v>0.05</v>
      </c>
      <c r="AA137" s="97">
        <v>3.5000000000000003E-2</v>
      </c>
      <c r="AB137" s="97">
        <v>0.04</v>
      </c>
      <c r="AC137" s="97">
        <v>0.03</v>
      </c>
      <c r="AD137" s="97">
        <v>3.5000000000000003E-2</v>
      </c>
      <c r="AE137" s="97">
        <v>3.5000000000000003E-2</v>
      </c>
      <c r="AF137" s="55">
        <v>2.5000000000000001E-2</v>
      </c>
    </row>
    <row r="138" spans="1:32" s="54" customFormat="1" ht="17.100000000000001" hidden="1" customHeight="1" x14ac:dyDescent="0.3">
      <c r="A138" s="53"/>
      <c r="B138" s="96"/>
      <c r="C138" s="54" t="s">
        <v>6</v>
      </c>
      <c r="D138" s="97">
        <v>0.08</v>
      </c>
      <c r="E138" s="97">
        <v>0.06</v>
      </c>
      <c r="F138" s="97">
        <v>0.1</v>
      </c>
      <c r="G138" s="97">
        <v>0.152</v>
      </c>
      <c r="H138" s="97">
        <v>0.20100000000000001</v>
      </c>
      <c r="I138" s="97">
        <v>0</v>
      </c>
      <c r="J138" s="97">
        <v>0</v>
      </c>
      <c r="K138" s="97">
        <v>3.7999999999999999E-2</v>
      </c>
      <c r="L138" s="97">
        <v>2.7E-2</v>
      </c>
      <c r="M138" s="97">
        <v>0.03</v>
      </c>
      <c r="N138" s="97">
        <v>5.8000000000000003E-2</v>
      </c>
      <c r="O138" s="97">
        <v>5.5E-2</v>
      </c>
      <c r="P138" s="97">
        <v>5.5E-2</v>
      </c>
      <c r="Q138" s="97">
        <v>0.1183</v>
      </c>
      <c r="R138" s="97">
        <v>0.1099</v>
      </c>
      <c r="S138" s="97">
        <v>9.4942636384921564E-2</v>
      </c>
      <c r="T138" s="97">
        <v>0.08</v>
      </c>
      <c r="U138" s="55">
        <v>7.0000000000000007E-2</v>
      </c>
      <c r="V138" s="97">
        <v>7.0000000000000007E-2</v>
      </c>
      <c r="W138" s="97">
        <v>6.5000000000000002E-2</v>
      </c>
      <c r="X138" s="97">
        <v>0.125</v>
      </c>
      <c r="Y138" s="97">
        <v>0.11</v>
      </c>
      <c r="Z138" s="97">
        <v>6.5000000000000002E-2</v>
      </c>
      <c r="AA138" s="97">
        <v>0.05</v>
      </c>
      <c r="AB138" s="97">
        <v>0.04</v>
      </c>
      <c r="AC138" s="97">
        <v>0.03</v>
      </c>
      <c r="AD138" s="97">
        <v>3.5000000000000003E-2</v>
      </c>
      <c r="AE138" s="97">
        <v>2.5000000000000001E-2</v>
      </c>
      <c r="AF138" s="55">
        <v>1.4999999999999999E-2</v>
      </c>
    </row>
    <row r="139" spans="1:32" s="54" customFormat="1" ht="17.100000000000001" hidden="1" customHeight="1" x14ac:dyDescent="0.3">
      <c r="A139" s="53"/>
      <c r="B139" s="96"/>
      <c r="C139" s="54" t="s">
        <v>7</v>
      </c>
      <c r="D139" s="97">
        <v>7.0000000000000007E-2</v>
      </c>
      <c r="E139" s="97">
        <v>3.9E-2</v>
      </c>
      <c r="F139" s="97">
        <v>0.44600000000000001</v>
      </c>
      <c r="G139" s="97">
        <v>0.20599999999999999</v>
      </c>
      <c r="H139" s="97">
        <v>5.8000000000000003E-2</v>
      </c>
      <c r="I139" s="97">
        <v>0</v>
      </c>
      <c r="J139" s="97">
        <v>0</v>
      </c>
      <c r="K139" s="97">
        <v>3.7999999999999999E-2</v>
      </c>
      <c r="L139" s="97">
        <v>2.7E-2</v>
      </c>
      <c r="M139" s="97">
        <v>3.1E-2</v>
      </c>
      <c r="N139" s="97">
        <v>0.04</v>
      </c>
      <c r="O139" s="97">
        <v>5.5E-2</v>
      </c>
      <c r="P139" s="97">
        <v>5.5E-2</v>
      </c>
      <c r="Q139" s="97">
        <v>4.5100000000000001E-2</v>
      </c>
      <c r="R139" s="97">
        <v>3.0300000000000001E-2</v>
      </c>
      <c r="S139" s="97">
        <v>9.4948849104859331E-2</v>
      </c>
      <c r="T139" s="97">
        <v>0.04</v>
      </c>
      <c r="U139" s="55">
        <v>5.5E-2</v>
      </c>
      <c r="V139" s="97">
        <v>4.4999999999999998E-2</v>
      </c>
      <c r="W139" s="263">
        <v>0</v>
      </c>
      <c r="X139" s="97">
        <v>9.5000000000000001E-2</v>
      </c>
      <c r="Y139" s="97">
        <v>7.0000000000000007E-2</v>
      </c>
      <c r="Z139" s="97">
        <v>7.0000000000000007E-2</v>
      </c>
      <c r="AA139" s="97">
        <v>0.05</v>
      </c>
      <c r="AB139" s="97">
        <v>0.06</v>
      </c>
      <c r="AC139" s="97">
        <v>0.03</v>
      </c>
      <c r="AD139" s="97">
        <v>3.5000000000000003E-2</v>
      </c>
      <c r="AE139" s="97">
        <v>2.5000000000000001E-2</v>
      </c>
      <c r="AF139" s="55">
        <v>1.4999999999999999E-2</v>
      </c>
    </row>
    <row r="140" spans="1:32" s="54" customFormat="1" ht="17.100000000000001" hidden="1" customHeight="1" x14ac:dyDescent="0.3">
      <c r="A140" s="53"/>
      <c r="B140" s="96"/>
      <c r="C140" s="54" t="s">
        <v>145</v>
      </c>
      <c r="D140" s="97">
        <v>2.9000000000000001E-2</v>
      </c>
      <c r="E140" s="97">
        <v>3.1E-2</v>
      </c>
      <c r="F140" s="97">
        <v>0.18099999999999999</v>
      </c>
      <c r="G140" s="97">
        <v>0.111</v>
      </c>
      <c r="H140" s="97">
        <v>0.14699999999999999</v>
      </c>
      <c r="I140" s="97">
        <v>1.2999999999999999E-2</v>
      </c>
      <c r="J140" s="97">
        <v>0</v>
      </c>
      <c r="K140" s="97">
        <v>3.7999999999999999E-2</v>
      </c>
      <c r="L140" s="97">
        <v>2.7E-2</v>
      </c>
      <c r="M140" s="97">
        <v>0.03</v>
      </c>
      <c r="N140" s="97">
        <v>0.04</v>
      </c>
      <c r="O140" s="97">
        <v>5.5E-2</v>
      </c>
      <c r="P140" s="97">
        <v>5.5E-2</v>
      </c>
      <c r="Q140" s="97">
        <v>7.4999999999999997E-2</v>
      </c>
      <c r="R140" s="97">
        <v>7.7499999999999999E-2</v>
      </c>
      <c r="S140" s="97">
        <v>5.1258992805755396E-2</v>
      </c>
      <c r="T140" s="97">
        <v>0.23599999999999999</v>
      </c>
      <c r="U140" s="55">
        <v>0.04</v>
      </c>
      <c r="V140" s="97">
        <v>6.5000000000000002E-2</v>
      </c>
      <c r="W140" s="97">
        <v>8.1000000000000003E-2</v>
      </c>
      <c r="X140" s="97">
        <v>0.114</v>
      </c>
      <c r="Y140" s="97">
        <v>0.11799999999999999</v>
      </c>
      <c r="Z140" s="97">
        <v>-0.14199999999999999</v>
      </c>
      <c r="AA140" s="97">
        <v>5.0999999999999997E-2</v>
      </c>
      <c r="AB140" s="97">
        <v>0.04</v>
      </c>
      <c r="AC140" s="97">
        <v>0.03</v>
      </c>
      <c r="AD140" s="97">
        <v>0.05</v>
      </c>
      <c r="AE140" s="97">
        <v>0.05</v>
      </c>
      <c r="AF140" s="55">
        <v>3.5000000000000003E-2</v>
      </c>
    </row>
    <row r="141" spans="1:32" s="48" customFormat="1" ht="17.100000000000001" hidden="1" customHeight="1" x14ac:dyDescent="0.3">
      <c r="A141" s="47"/>
      <c r="C141" s="48" t="s">
        <v>8</v>
      </c>
      <c r="D141" s="97">
        <v>3.1E-2</v>
      </c>
      <c r="E141" s="97">
        <v>3.9E-2</v>
      </c>
      <c r="F141" s="97">
        <v>8.6999999999999994E-2</v>
      </c>
      <c r="G141" s="97">
        <v>8.5999999999999993E-2</v>
      </c>
      <c r="H141" s="97">
        <v>0.107</v>
      </c>
      <c r="I141" s="97">
        <v>0.04</v>
      </c>
      <c r="J141" s="97">
        <v>0</v>
      </c>
      <c r="K141" s="97">
        <v>3.7999999999999999E-2</v>
      </c>
      <c r="L141" s="97">
        <v>2.7E-2</v>
      </c>
      <c r="M141" s="97">
        <v>0.03</v>
      </c>
      <c r="N141" s="97">
        <v>0.04</v>
      </c>
      <c r="O141" s="97">
        <v>0.125</v>
      </c>
      <c r="P141" s="97">
        <v>0.125</v>
      </c>
      <c r="Q141" s="97">
        <v>0.12470000000000001</v>
      </c>
      <c r="R141" s="97">
        <v>0.14480000000000001</v>
      </c>
      <c r="S141" s="97">
        <v>8.7689713322091065E-2</v>
      </c>
      <c r="T141" s="97">
        <v>0.09</v>
      </c>
      <c r="U141" s="55">
        <v>6.7000000000000004E-2</v>
      </c>
      <c r="V141" s="97">
        <v>4.2999999999999997E-2</v>
      </c>
      <c r="W141" s="97">
        <v>3.2000000000000001E-2</v>
      </c>
      <c r="X141" s="97">
        <v>2.9000000000000001E-2</v>
      </c>
      <c r="Y141" s="97">
        <v>5.8000000000000003E-2</v>
      </c>
      <c r="Z141" s="97">
        <v>4.4999999999999998E-2</v>
      </c>
      <c r="AA141" s="97">
        <v>5.2999999999999999E-2</v>
      </c>
      <c r="AB141" s="97">
        <v>0.04</v>
      </c>
      <c r="AC141" s="97">
        <v>0.03</v>
      </c>
      <c r="AD141" s="97">
        <v>3.5000000000000003E-2</v>
      </c>
      <c r="AE141" s="97">
        <v>2.5000000000000001E-2</v>
      </c>
      <c r="AF141" s="55">
        <v>1.4999999999999999E-2</v>
      </c>
    </row>
    <row r="142" spans="1:32" s="48" customFormat="1" ht="17.100000000000001" hidden="1" customHeight="1" x14ac:dyDescent="0.3">
      <c r="A142" s="47"/>
      <c r="C142" s="48" t="s">
        <v>9</v>
      </c>
      <c r="D142" s="97">
        <v>2.9000000000000001E-2</v>
      </c>
      <c r="E142" s="97">
        <v>3.5999999999999997E-2</v>
      </c>
      <c r="F142" s="97">
        <v>6.7000000000000004E-2</v>
      </c>
      <c r="G142" s="97">
        <v>7.2999999999999995E-2</v>
      </c>
      <c r="H142" s="97">
        <v>6.8000000000000005E-2</v>
      </c>
      <c r="I142" s="97">
        <v>0.05</v>
      </c>
      <c r="J142" s="97">
        <v>0</v>
      </c>
      <c r="K142" s="97">
        <v>3.6999999999999998E-2</v>
      </c>
      <c r="L142" s="97">
        <v>2.7E-2</v>
      </c>
      <c r="M142" s="97">
        <v>0.03</v>
      </c>
      <c r="N142" s="97">
        <v>0.04</v>
      </c>
      <c r="O142" s="97">
        <v>5.5E-2</v>
      </c>
      <c r="P142" s="97">
        <v>5.5E-2</v>
      </c>
      <c r="Q142" s="97">
        <v>8.4900000000000003E-2</v>
      </c>
      <c r="R142" s="97">
        <v>7.9600000000000004E-2</v>
      </c>
      <c r="S142" s="97">
        <v>7.4235807860262015E-2</v>
      </c>
      <c r="T142" s="97">
        <v>0.04</v>
      </c>
      <c r="U142" s="55">
        <v>0.06</v>
      </c>
      <c r="V142" s="97">
        <v>5.3999999999999999E-2</v>
      </c>
      <c r="W142" s="97">
        <v>0.04</v>
      </c>
      <c r="X142" s="97">
        <v>0.06</v>
      </c>
      <c r="Y142" s="97">
        <v>0.05</v>
      </c>
      <c r="Z142" s="97">
        <v>4.3999999999999997E-2</v>
      </c>
      <c r="AA142" s="97">
        <v>0.06</v>
      </c>
      <c r="AB142" s="97">
        <v>0.04</v>
      </c>
      <c r="AC142" s="97">
        <v>0</v>
      </c>
      <c r="AD142" s="97">
        <v>3.5000000000000003E-2</v>
      </c>
      <c r="AE142" s="97">
        <v>2.5000000000000001E-2</v>
      </c>
      <c r="AF142" s="55">
        <v>1.4999999999999999E-2</v>
      </c>
    </row>
    <row r="143" spans="1:32" s="48" customFormat="1" ht="17.100000000000001" hidden="1" customHeight="1" x14ac:dyDescent="0.3">
      <c r="A143" s="47"/>
      <c r="C143" s="48" t="s">
        <v>129</v>
      </c>
      <c r="D143" s="55">
        <f t="shared" ref="D143:U143" si="10">AVERAGE(D135:D142)</f>
        <v>5.4875000000000007E-2</v>
      </c>
      <c r="E143" s="55">
        <f t="shared" si="10"/>
        <v>4.8374999999999987E-2</v>
      </c>
      <c r="F143" s="55">
        <f t="shared" si="10"/>
        <v>0.140375</v>
      </c>
      <c r="G143" s="55">
        <f t="shared" si="10"/>
        <v>0.12499999999999999</v>
      </c>
      <c r="H143" s="55">
        <f t="shared" si="10"/>
        <v>0.11375000000000002</v>
      </c>
      <c r="I143" s="55">
        <f t="shared" si="10"/>
        <v>1.8000000000000002E-2</v>
      </c>
      <c r="J143" s="55">
        <f t="shared" si="10"/>
        <v>7.0000000000000001E-3</v>
      </c>
      <c r="K143" s="55">
        <f t="shared" si="10"/>
        <v>3.7124999999999998E-2</v>
      </c>
      <c r="L143" s="55">
        <f t="shared" si="10"/>
        <v>2.7125E-2</v>
      </c>
      <c r="M143" s="55">
        <f t="shared" si="10"/>
        <v>3.0124999999999999E-2</v>
      </c>
      <c r="N143" s="55">
        <f t="shared" si="10"/>
        <v>4.2249999999999996E-2</v>
      </c>
      <c r="O143" s="55">
        <f t="shared" si="10"/>
        <v>7.1562500000000015E-2</v>
      </c>
      <c r="P143" s="55">
        <f t="shared" si="10"/>
        <v>7.5125000000000011E-2</v>
      </c>
      <c r="Q143" s="55">
        <f t="shared" si="10"/>
        <v>9.4062499999999993E-2</v>
      </c>
      <c r="R143" s="55">
        <f t="shared" si="10"/>
        <v>8.9050000000000004E-2</v>
      </c>
      <c r="S143" s="55">
        <f t="shared" si="10"/>
        <v>8.464324767463649E-2</v>
      </c>
      <c r="T143" s="55">
        <f t="shared" si="10"/>
        <v>9.325E-2</v>
      </c>
      <c r="U143" s="55">
        <f t="shared" si="10"/>
        <v>6.3375000000000001E-2</v>
      </c>
      <c r="V143" s="55">
        <f t="shared" ref="V143:AB143" si="11">AVERAGE(V135:V142)</f>
        <v>4.9624999999999996E-2</v>
      </c>
      <c r="W143" s="55">
        <f t="shared" si="11"/>
        <v>5.0374999999999996E-2</v>
      </c>
      <c r="X143" s="55">
        <f t="shared" si="11"/>
        <v>7.7875E-2</v>
      </c>
      <c r="Y143" s="55">
        <f t="shared" si="11"/>
        <v>7.5500000000000012E-2</v>
      </c>
      <c r="Z143" s="55">
        <f t="shared" si="11"/>
        <v>3.15E-2</v>
      </c>
      <c r="AA143" s="55">
        <f t="shared" si="11"/>
        <v>5.1499999999999997E-2</v>
      </c>
      <c r="AB143" s="55">
        <f t="shared" si="11"/>
        <v>4.6624999999999993E-2</v>
      </c>
      <c r="AC143" s="55">
        <f t="shared" ref="AC143:AD143" si="12">AVERAGE(AC135:AC142)</f>
        <v>2.6875E-2</v>
      </c>
      <c r="AD143" s="55">
        <f t="shared" si="12"/>
        <v>3.7375000000000005E-2</v>
      </c>
      <c r="AE143" s="55">
        <f t="shared" ref="AE143" si="13">AVERAGE(AE135:AE142)</f>
        <v>3.4249999999999996E-2</v>
      </c>
      <c r="AF143" s="97">
        <f t="shared" ref="AF143" si="14">SUM(AF135:AF142)/8</f>
        <v>2.4750000000000001E-2</v>
      </c>
    </row>
    <row r="144" spans="1:32" s="48" customFormat="1" ht="17.100000000000001" hidden="1" customHeight="1" x14ac:dyDescent="0.3">
      <c r="A144" s="47"/>
      <c r="C144" s="48" t="s">
        <v>130</v>
      </c>
      <c r="D144" s="97">
        <f>SUM(D136:D143)/9</f>
        <v>4.7097222222222235E-2</v>
      </c>
      <c r="E144" s="97">
        <f>SUM(E136:E143)/9</f>
        <v>4.1486111111111106E-2</v>
      </c>
      <c r="F144" s="97">
        <f>SUM(F136:F143)/9</f>
        <v>0.13126388888888887</v>
      </c>
      <c r="G144" s="97"/>
      <c r="H144" s="97"/>
      <c r="I144" s="97"/>
      <c r="J144" s="97"/>
      <c r="K144" s="97"/>
      <c r="L144" s="97"/>
      <c r="M144" s="97"/>
      <c r="N144" s="97"/>
      <c r="O144" s="97">
        <v>5.5E-2</v>
      </c>
      <c r="P144" s="97">
        <v>0.04</v>
      </c>
      <c r="Q144" s="97">
        <v>4.4999999999999998E-2</v>
      </c>
      <c r="R144" s="97">
        <v>0.03</v>
      </c>
      <c r="S144" s="97">
        <v>3.5000000000000003E-2</v>
      </c>
      <c r="T144" s="97">
        <v>0.04</v>
      </c>
      <c r="U144" s="55">
        <v>0.04</v>
      </c>
      <c r="V144" s="97">
        <v>3.5000000000000003E-2</v>
      </c>
      <c r="W144" s="97">
        <v>0.01</v>
      </c>
      <c r="X144" s="97">
        <v>1.4999999999999999E-2</v>
      </c>
      <c r="Y144" s="55">
        <v>0.05</v>
      </c>
      <c r="Z144" s="55">
        <v>4.4999999999999998E-2</v>
      </c>
      <c r="AA144" s="55">
        <v>0.05</v>
      </c>
      <c r="AB144" s="55">
        <v>0.04</v>
      </c>
      <c r="AC144" s="55">
        <v>0.03</v>
      </c>
      <c r="AD144" s="55">
        <v>3.5000000000000003E-2</v>
      </c>
      <c r="AE144" s="55">
        <v>2.5000000000000001E-2</v>
      </c>
      <c r="AF144" s="55">
        <v>1.4999999999999999E-2</v>
      </c>
    </row>
    <row r="145" spans="1:28" s="48" customFormat="1" ht="6" hidden="1" customHeight="1" x14ac:dyDescent="0.3">
      <c r="A145" s="47"/>
      <c r="O145" s="97"/>
      <c r="P145" s="97"/>
      <c r="Q145" s="97"/>
      <c r="R145" s="97"/>
      <c r="S145" s="97"/>
      <c r="T145" s="97"/>
      <c r="U145" s="55"/>
      <c r="V145" s="55"/>
      <c r="W145" s="55"/>
      <c r="X145" s="55"/>
      <c r="Y145" s="55"/>
      <c r="Z145" s="97"/>
      <c r="AA145" s="97"/>
      <c r="AB145" s="97"/>
    </row>
    <row r="146" spans="1:28" s="48" customFormat="1" ht="15" hidden="1" customHeight="1" x14ac:dyDescent="0.3">
      <c r="A146" s="82" t="s">
        <v>132</v>
      </c>
    </row>
    <row r="147" spans="1:28" s="48" customFormat="1" ht="15" hidden="1" customHeight="1" x14ac:dyDescent="0.3">
      <c r="A147" s="82" t="s">
        <v>893</v>
      </c>
    </row>
    <row r="148" spans="1:28" s="48" customFormat="1" ht="15" hidden="1" customHeight="1" x14ac:dyDescent="0.3">
      <c r="A148" s="82" t="s">
        <v>232</v>
      </c>
    </row>
    <row r="149" spans="1:28" s="48" customFormat="1" ht="15" hidden="1" customHeight="1" x14ac:dyDescent="0.3">
      <c r="A149" s="82" t="s">
        <v>133</v>
      </c>
    </row>
    <row r="150" spans="1:28" s="48" customFormat="1" ht="15" customHeight="1" x14ac:dyDescent="0.3">
      <c r="A150" s="59"/>
      <c r="B150" s="60"/>
    </row>
    <row r="151" spans="1:28" s="48" customFormat="1" ht="16.5" x14ac:dyDescent="0.3">
      <c r="A151" s="47"/>
    </row>
    <row r="152" spans="1:28" s="48" customFormat="1" ht="16.5" x14ac:dyDescent="0.3">
      <c r="A152" s="47"/>
    </row>
    <row r="153" spans="1:28" s="48" customFormat="1" ht="16.5" x14ac:dyDescent="0.3">
      <c r="A153" s="47"/>
    </row>
    <row r="154" spans="1:28" s="48" customFormat="1" ht="16.5" x14ac:dyDescent="0.3">
      <c r="A154" s="47"/>
    </row>
    <row r="155" spans="1:28" s="48" customFormat="1" ht="16.5" x14ac:dyDescent="0.3">
      <c r="A155" s="47"/>
    </row>
    <row r="156" spans="1:28" s="48" customFormat="1" ht="16.5" x14ac:dyDescent="0.3">
      <c r="A156" s="47"/>
    </row>
    <row r="157" spans="1:28" s="48" customFormat="1" ht="16.5" x14ac:dyDescent="0.3">
      <c r="A157" s="47"/>
    </row>
    <row r="158" spans="1:28" s="48" customFormat="1" ht="16.5" x14ac:dyDescent="0.3">
      <c r="A158" s="47"/>
    </row>
    <row r="159" spans="1:28" s="48" customFormat="1" ht="16.5" x14ac:dyDescent="0.3">
      <c r="A159" s="47"/>
    </row>
    <row r="160" spans="1:28" s="48" customFormat="1" ht="16.5" x14ac:dyDescent="0.3">
      <c r="A160" s="47"/>
    </row>
    <row r="161" spans="1:1" s="48" customFormat="1" ht="16.5" x14ac:dyDescent="0.3">
      <c r="A161" s="47"/>
    </row>
    <row r="162" spans="1:1" s="48" customFormat="1" ht="16.5" x14ac:dyDescent="0.3">
      <c r="A162" s="47"/>
    </row>
    <row r="163" spans="1:1" s="48" customFormat="1" ht="16.5" x14ac:dyDescent="0.3">
      <c r="A163" s="47"/>
    </row>
    <row r="164" spans="1:1" s="48" customFormat="1" ht="16.5" x14ac:dyDescent="0.3">
      <c r="A164" s="47"/>
    </row>
    <row r="165" spans="1:1" s="48" customFormat="1" ht="16.5" x14ac:dyDescent="0.3">
      <c r="A165" s="47"/>
    </row>
    <row r="166" spans="1:1" s="48" customFormat="1" ht="16.5" x14ac:dyDescent="0.3">
      <c r="A166" s="47"/>
    </row>
    <row r="167" spans="1:1" s="48" customFormat="1" ht="16.5" x14ac:dyDescent="0.3">
      <c r="A167" s="47"/>
    </row>
    <row r="168" spans="1:1" s="48" customFormat="1" ht="16.5" x14ac:dyDescent="0.3">
      <c r="A168" s="47"/>
    </row>
    <row r="169" spans="1:1" s="48" customFormat="1" ht="16.5" x14ac:dyDescent="0.3">
      <c r="A169" s="47"/>
    </row>
    <row r="170" spans="1:1" s="48" customFormat="1" ht="16.5" x14ac:dyDescent="0.3">
      <c r="A170" s="47"/>
    </row>
    <row r="171" spans="1:1" s="48" customFormat="1" ht="16.5" x14ac:dyDescent="0.3">
      <c r="A171" s="47"/>
    </row>
    <row r="172" spans="1:1" s="48" customFormat="1" ht="16.5" x14ac:dyDescent="0.3">
      <c r="A172" s="47"/>
    </row>
    <row r="173" spans="1:1" s="48" customFormat="1" ht="16.5" x14ac:dyDescent="0.3">
      <c r="A173" s="47"/>
    </row>
    <row r="174" spans="1:1" s="48" customFormat="1" ht="16.5" x14ac:dyDescent="0.3">
      <c r="A174" s="47"/>
    </row>
    <row r="175" spans="1:1" s="48" customFormat="1" ht="16.5" x14ac:dyDescent="0.3">
      <c r="A175" s="47"/>
    </row>
    <row r="176" spans="1:1" s="48" customFormat="1" ht="16.5" x14ac:dyDescent="0.3">
      <c r="A176" s="47"/>
    </row>
    <row r="177" spans="1:1" s="48" customFormat="1" ht="16.5" x14ac:dyDescent="0.3">
      <c r="A177" s="47"/>
    </row>
    <row r="178" spans="1:1" s="48" customFormat="1" ht="16.5" x14ac:dyDescent="0.3">
      <c r="A178" s="47"/>
    </row>
    <row r="179" spans="1:1" s="48" customFormat="1" ht="16.5" x14ac:dyDescent="0.3">
      <c r="A179" s="47"/>
    </row>
    <row r="180" spans="1:1" s="48" customFormat="1" ht="16.5" x14ac:dyDescent="0.3">
      <c r="A180" s="47"/>
    </row>
    <row r="181" spans="1:1" s="48" customFormat="1" ht="16.5" x14ac:dyDescent="0.3">
      <c r="A181" s="47"/>
    </row>
    <row r="182" spans="1:1" s="48" customFormat="1" ht="16.5" x14ac:dyDescent="0.3">
      <c r="A182" s="47"/>
    </row>
    <row r="183" spans="1:1" s="48" customFormat="1" ht="16.5" x14ac:dyDescent="0.3">
      <c r="A183" s="47"/>
    </row>
    <row r="184" spans="1:1" s="48" customFormat="1" ht="16.5" x14ac:dyDescent="0.3">
      <c r="A184" s="47"/>
    </row>
    <row r="185" spans="1:1" s="48" customFormat="1" ht="16.5" x14ac:dyDescent="0.3">
      <c r="A185" s="47"/>
    </row>
    <row r="186" spans="1:1" s="48" customFormat="1" ht="16.5" x14ac:dyDescent="0.3">
      <c r="A186" s="47"/>
    </row>
    <row r="187" spans="1:1" s="48" customFormat="1" ht="16.5" x14ac:dyDescent="0.3">
      <c r="A187" s="47"/>
    </row>
    <row r="188" spans="1:1" s="48" customFormat="1" ht="16.5" x14ac:dyDescent="0.3">
      <c r="A188" s="47"/>
    </row>
    <row r="189" spans="1:1" s="48" customFormat="1" ht="16.5" x14ac:dyDescent="0.3">
      <c r="A189" s="47"/>
    </row>
    <row r="190" spans="1:1" s="48" customFormat="1" ht="16.5" x14ac:dyDescent="0.3">
      <c r="A190" s="47"/>
    </row>
    <row r="191" spans="1:1" s="48" customFormat="1" ht="16.5" x14ac:dyDescent="0.3">
      <c r="A191" s="47"/>
    </row>
    <row r="192" spans="1:1" s="48" customFormat="1" ht="16.5" x14ac:dyDescent="0.3">
      <c r="A192" s="47"/>
    </row>
    <row r="193" spans="1:1" s="48" customFormat="1" ht="16.5" x14ac:dyDescent="0.3">
      <c r="A193" s="47"/>
    </row>
    <row r="194" spans="1:1" s="48" customFormat="1" ht="16.5" x14ac:dyDescent="0.3">
      <c r="A194" s="47"/>
    </row>
    <row r="195" spans="1:1" s="48" customFormat="1" ht="16.5" x14ac:dyDescent="0.3">
      <c r="A195" s="47"/>
    </row>
    <row r="196" spans="1:1" s="48" customFormat="1" ht="16.5" x14ac:dyDescent="0.3">
      <c r="A196" s="47"/>
    </row>
    <row r="197" spans="1:1" s="48" customFormat="1" ht="16.5" x14ac:dyDescent="0.3">
      <c r="A197" s="47"/>
    </row>
    <row r="198" spans="1:1" s="48" customFormat="1" ht="16.5" x14ac:dyDescent="0.3">
      <c r="A198" s="47"/>
    </row>
    <row r="199" spans="1:1" s="48" customFormat="1" ht="16.5" x14ac:dyDescent="0.3">
      <c r="A199" s="47"/>
    </row>
    <row r="200" spans="1:1" s="48" customFormat="1" ht="16.5" x14ac:dyDescent="0.3">
      <c r="A200" s="47"/>
    </row>
    <row r="201" spans="1:1" s="48" customFormat="1" ht="16.5" x14ac:dyDescent="0.3">
      <c r="A201" s="47"/>
    </row>
    <row r="202" spans="1:1" s="48" customFormat="1" ht="16.5" x14ac:dyDescent="0.3">
      <c r="A202" s="47"/>
    </row>
    <row r="203" spans="1:1" s="48" customFormat="1" ht="16.5" x14ac:dyDescent="0.3">
      <c r="A203" s="47"/>
    </row>
    <row r="204" spans="1:1" s="48" customFormat="1" ht="16.5" x14ac:dyDescent="0.3">
      <c r="A204" s="47"/>
    </row>
    <row r="205" spans="1:1" s="48" customFormat="1" ht="16.5" x14ac:dyDescent="0.3">
      <c r="A205" s="47"/>
    </row>
    <row r="206" spans="1:1" s="48" customFormat="1" ht="16.5" x14ac:dyDescent="0.3">
      <c r="A206" s="47"/>
    </row>
    <row r="207" spans="1:1" s="48" customFormat="1" ht="16.5" x14ac:dyDescent="0.3">
      <c r="A207" s="47"/>
    </row>
    <row r="208" spans="1:1" s="48" customFormat="1" ht="16.5" x14ac:dyDescent="0.3">
      <c r="A208" s="47"/>
    </row>
    <row r="209" spans="1:1" s="48" customFormat="1" ht="16.5" x14ac:dyDescent="0.3">
      <c r="A209" s="47"/>
    </row>
    <row r="210" spans="1:1" s="48" customFormat="1" ht="16.5" x14ac:dyDescent="0.3">
      <c r="A210" s="47"/>
    </row>
    <row r="211" spans="1:1" s="48" customFormat="1" ht="16.5" x14ac:dyDescent="0.3">
      <c r="A211" s="47"/>
    </row>
    <row r="212" spans="1:1" s="48" customFormat="1" ht="16.5" x14ac:dyDescent="0.3">
      <c r="A212" s="47"/>
    </row>
    <row r="213" spans="1:1" s="48" customFormat="1" ht="16.5" x14ac:dyDescent="0.3">
      <c r="A213" s="47"/>
    </row>
    <row r="214" spans="1:1" s="48" customFormat="1" ht="16.5" x14ac:dyDescent="0.3">
      <c r="A214" s="47"/>
    </row>
    <row r="215" spans="1:1" s="48" customFormat="1" ht="16.5" x14ac:dyDescent="0.3">
      <c r="A215" s="47"/>
    </row>
    <row r="216" spans="1:1" s="48" customFormat="1" ht="16.5" x14ac:dyDescent="0.3">
      <c r="A216" s="47"/>
    </row>
    <row r="217" spans="1:1" s="48" customFormat="1" ht="16.5" x14ac:dyDescent="0.3">
      <c r="A217" s="47"/>
    </row>
    <row r="218" spans="1:1" s="48" customFormat="1" ht="16.5" x14ac:dyDescent="0.3">
      <c r="A218" s="47"/>
    </row>
    <row r="219" spans="1:1" s="48" customFormat="1" ht="16.5" x14ac:dyDescent="0.3">
      <c r="A219" s="47"/>
    </row>
    <row r="220" spans="1:1" s="48" customFormat="1" ht="16.5" x14ac:dyDescent="0.3">
      <c r="A220" s="47"/>
    </row>
    <row r="221" spans="1:1" s="48" customFormat="1" ht="16.5" x14ac:dyDescent="0.3">
      <c r="A221" s="47"/>
    </row>
    <row r="222" spans="1:1" s="48" customFormat="1" ht="16.5" x14ac:dyDescent="0.3">
      <c r="A222" s="47"/>
    </row>
    <row r="223" spans="1:1" s="48" customFormat="1" ht="16.5" x14ac:dyDescent="0.3">
      <c r="A223" s="47"/>
    </row>
    <row r="224" spans="1:1" s="48" customFormat="1" ht="16.5" x14ac:dyDescent="0.3">
      <c r="A224" s="47"/>
    </row>
    <row r="225" spans="1:1" s="48" customFormat="1" ht="16.5" x14ac:dyDescent="0.3">
      <c r="A225" s="47"/>
    </row>
    <row r="226" spans="1:1" s="48" customFormat="1" ht="16.5" x14ac:dyDescent="0.3">
      <c r="A226" s="47"/>
    </row>
    <row r="227" spans="1:1" s="48" customFormat="1" ht="16.5" x14ac:dyDescent="0.3">
      <c r="A227" s="47"/>
    </row>
    <row r="228" spans="1:1" s="48" customFormat="1" ht="16.5" x14ac:dyDescent="0.3">
      <c r="A228" s="47"/>
    </row>
    <row r="229" spans="1:1" s="48" customFormat="1" ht="16.5" x14ac:dyDescent="0.3">
      <c r="A229" s="47"/>
    </row>
    <row r="230" spans="1:1" s="48" customFormat="1" ht="16.5" x14ac:dyDescent="0.3">
      <c r="A230" s="47"/>
    </row>
    <row r="231" spans="1:1" s="48" customFormat="1" ht="16.5" x14ac:dyDescent="0.3">
      <c r="A231" s="47"/>
    </row>
    <row r="232" spans="1:1" s="48" customFormat="1" ht="16.5" x14ac:dyDescent="0.3">
      <c r="A232" s="47"/>
    </row>
    <row r="233" spans="1:1" s="48" customFormat="1" ht="16.5" x14ac:dyDescent="0.3">
      <c r="A233" s="47"/>
    </row>
    <row r="234" spans="1:1" s="48" customFormat="1" ht="16.5" x14ac:dyDescent="0.3">
      <c r="A234" s="47"/>
    </row>
    <row r="235" spans="1:1" s="48" customFormat="1" ht="16.5" x14ac:dyDescent="0.3">
      <c r="A235" s="47"/>
    </row>
    <row r="236" spans="1:1" s="48" customFormat="1" ht="16.5" x14ac:dyDescent="0.3">
      <c r="A236" s="47"/>
    </row>
    <row r="237" spans="1:1" s="48" customFormat="1" ht="16.5" x14ac:dyDescent="0.3">
      <c r="A237" s="47"/>
    </row>
    <row r="238" spans="1:1" s="48" customFormat="1" ht="16.5" x14ac:dyDescent="0.3">
      <c r="A238" s="47"/>
    </row>
    <row r="239" spans="1:1" s="48" customFormat="1" ht="16.5" x14ac:dyDescent="0.3">
      <c r="A239" s="47"/>
    </row>
    <row r="240" spans="1:1" s="48" customFormat="1" ht="16.5" x14ac:dyDescent="0.3">
      <c r="A240" s="47"/>
    </row>
    <row r="241" spans="1:1" s="48" customFormat="1" ht="16.5" x14ac:dyDescent="0.3">
      <c r="A241" s="47"/>
    </row>
    <row r="242" spans="1:1" s="48" customFormat="1" ht="16.5" x14ac:dyDescent="0.3">
      <c r="A242" s="47"/>
    </row>
    <row r="243" spans="1:1" s="48" customFormat="1" ht="16.5" x14ac:dyDescent="0.3">
      <c r="A243" s="47"/>
    </row>
    <row r="244" spans="1:1" s="48" customFormat="1" ht="16.5" x14ac:dyDescent="0.3">
      <c r="A244" s="47"/>
    </row>
    <row r="245" spans="1:1" s="48" customFormat="1" ht="16.5" x14ac:dyDescent="0.3">
      <c r="A245" s="47"/>
    </row>
    <row r="246" spans="1:1" s="48" customFormat="1" ht="16.5" x14ac:dyDescent="0.3">
      <c r="A246" s="47"/>
    </row>
    <row r="247" spans="1:1" s="48" customFormat="1" ht="16.5" x14ac:dyDescent="0.3">
      <c r="A247" s="47"/>
    </row>
    <row r="248" spans="1:1" s="48" customFormat="1" ht="16.5" x14ac:dyDescent="0.3">
      <c r="A248" s="47"/>
    </row>
    <row r="249" spans="1:1" s="48" customFormat="1" ht="16.5" x14ac:dyDescent="0.3">
      <c r="A249" s="47"/>
    </row>
    <row r="250" spans="1:1" s="48" customFormat="1" ht="16.5" x14ac:dyDescent="0.3">
      <c r="A250" s="47"/>
    </row>
    <row r="251" spans="1:1" s="48" customFormat="1" ht="16.5" x14ac:dyDescent="0.3">
      <c r="A251" s="47"/>
    </row>
    <row r="252" spans="1:1" s="48" customFormat="1" ht="16.5" x14ac:dyDescent="0.3">
      <c r="A252" s="47"/>
    </row>
    <row r="253" spans="1:1" s="48" customFormat="1" ht="16.5" x14ac:dyDescent="0.3">
      <c r="A253" s="47"/>
    </row>
    <row r="254" spans="1:1" s="48" customFormat="1" ht="16.5" x14ac:dyDescent="0.3">
      <c r="A254" s="47"/>
    </row>
    <row r="255" spans="1:1" s="48" customFormat="1" ht="16.5" x14ac:dyDescent="0.3">
      <c r="A255" s="47"/>
    </row>
    <row r="256" spans="1:1" s="48" customFormat="1" ht="16.5" x14ac:dyDescent="0.3">
      <c r="A256" s="47"/>
    </row>
    <row r="257" spans="1:1" s="48" customFormat="1" ht="16.5" x14ac:dyDescent="0.3">
      <c r="A257" s="47"/>
    </row>
    <row r="258" spans="1:1" s="48" customFormat="1" ht="16.5" x14ac:dyDescent="0.3">
      <c r="A258" s="47"/>
    </row>
    <row r="259" spans="1:1" s="48" customFormat="1" ht="16.5" x14ac:dyDescent="0.3">
      <c r="A259" s="47"/>
    </row>
    <row r="260" spans="1:1" s="48" customFormat="1" ht="16.5" x14ac:dyDescent="0.3">
      <c r="A260" s="47"/>
    </row>
    <row r="261" spans="1:1" s="48" customFormat="1" ht="16.5" x14ac:dyDescent="0.3">
      <c r="A261" s="47"/>
    </row>
    <row r="262" spans="1:1" s="48" customFormat="1" ht="16.5" x14ac:dyDescent="0.3">
      <c r="A262" s="47"/>
    </row>
    <row r="263" spans="1:1" s="48" customFormat="1" ht="16.5" x14ac:dyDescent="0.3">
      <c r="A263" s="47"/>
    </row>
    <row r="264" spans="1:1" s="48" customFormat="1" ht="16.5" x14ac:dyDescent="0.3">
      <c r="A264" s="47"/>
    </row>
    <row r="265" spans="1:1" s="48" customFormat="1" ht="16.5" x14ac:dyDescent="0.3">
      <c r="A265" s="47"/>
    </row>
    <row r="266" spans="1:1" s="48" customFormat="1" ht="16.5" x14ac:dyDescent="0.3">
      <c r="A266" s="47"/>
    </row>
    <row r="267" spans="1:1" s="48" customFormat="1" ht="16.5" x14ac:dyDescent="0.3">
      <c r="A267" s="47"/>
    </row>
    <row r="268" spans="1:1" s="48" customFormat="1" ht="16.5" x14ac:dyDescent="0.3">
      <c r="A268" s="47"/>
    </row>
    <row r="269" spans="1:1" s="48" customFormat="1" ht="16.5" x14ac:dyDescent="0.3">
      <c r="A269" s="47"/>
    </row>
    <row r="270" spans="1:1" s="48" customFormat="1" ht="16.5" x14ac:dyDescent="0.3">
      <c r="A270" s="47"/>
    </row>
    <row r="271" spans="1:1" s="48" customFormat="1" ht="16.5" x14ac:dyDescent="0.3">
      <c r="A271" s="47"/>
    </row>
    <row r="272" spans="1:1" s="48" customFormat="1" ht="16.5" x14ac:dyDescent="0.3">
      <c r="A272" s="47"/>
    </row>
    <row r="273" spans="1:1" s="48" customFormat="1" ht="16.5" x14ac:dyDescent="0.3">
      <c r="A273" s="47"/>
    </row>
    <row r="274" spans="1:1" s="48" customFormat="1" ht="16.5" x14ac:dyDescent="0.3">
      <c r="A274" s="47"/>
    </row>
    <row r="275" spans="1:1" s="48" customFormat="1" ht="16.5" x14ac:dyDescent="0.3">
      <c r="A275" s="47"/>
    </row>
    <row r="276" spans="1:1" s="48" customFormat="1" ht="16.5" x14ac:dyDescent="0.3">
      <c r="A276" s="47"/>
    </row>
    <row r="277" spans="1:1" s="48" customFormat="1" ht="16.5" x14ac:dyDescent="0.3">
      <c r="A277" s="47"/>
    </row>
    <row r="278" spans="1:1" s="48" customFormat="1" ht="16.5" x14ac:dyDescent="0.3">
      <c r="A278" s="47"/>
    </row>
    <row r="279" spans="1:1" s="48" customFormat="1" ht="16.5" x14ac:dyDescent="0.3">
      <c r="A279" s="47"/>
    </row>
    <row r="280" spans="1:1" s="48" customFormat="1" ht="16.5" x14ac:dyDescent="0.3">
      <c r="A280" s="47"/>
    </row>
    <row r="281" spans="1:1" s="48" customFormat="1" ht="16.5" x14ac:dyDescent="0.3">
      <c r="A281" s="47"/>
    </row>
    <row r="282" spans="1:1" s="48" customFormat="1" ht="16.5" x14ac:dyDescent="0.3">
      <c r="A282" s="47"/>
    </row>
    <row r="283" spans="1:1" s="48" customFormat="1" ht="16.5" x14ac:dyDescent="0.3">
      <c r="A283" s="47"/>
    </row>
    <row r="284" spans="1:1" s="48" customFormat="1" ht="16.5" x14ac:dyDescent="0.3">
      <c r="A284" s="47"/>
    </row>
    <row r="285" spans="1:1" s="48" customFormat="1" ht="16.5" x14ac:dyDescent="0.3">
      <c r="A285" s="47"/>
    </row>
    <row r="286" spans="1:1" s="48" customFormat="1" ht="16.5" x14ac:dyDescent="0.3">
      <c r="A286" s="47"/>
    </row>
    <row r="287" spans="1:1" s="48" customFormat="1" ht="16.5" x14ac:dyDescent="0.3">
      <c r="A287" s="47"/>
    </row>
    <row r="288" spans="1:1" s="48" customFormat="1" ht="16.5" x14ac:dyDescent="0.3">
      <c r="A288" s="47"/>
    </row>
    <row r="289" spans="1:1" s="48" customFormat="1" ht="16.5" x14ac:dyDescent="0.3">
      <c r="A289" s="47"/>
    </row>
    <row r="290" spans="1:1" s="48" customFormat="1" ht="16.5" x14ac:dyDescent="0.3">
      <c r="A290" s="47"/>
    </row>
    <row r="291" spans="1:1" s="48" customFormat="1" ht="16.5" x14ac:dyDescent="0.3">
      <c r="A291" s="47"/>
    </row>
    <row r="292" spans="1:1" s="48" customFormat="1" ht="16.5" x14ac:dyDescent="0.3">
      <c r="A292" s="47"/>
    </row>
    <row r="293" spans="1:1" s="48" customFormat="1" ht="16.5" x14ac:dyDescent="0.3">
      <c r="A293" s="47"/>
    </row>
    <row r="294" spans="1:1" s="48" customFormat="1" ht="16.5" x14ac:dyDescent="0.3">
      <c r="A294" s="47"/>
    </row>
    <row r="295" spans="1:1" s="48" customFormat="1" ht="16.5" x14ac:dyDescent="0.3">
      <c r="A295" s="47"/>
    </row>
    <row r="296" spans="1:1" s="48" customFormat="1" ht="16.5" x14ac:dyDescent="0.3">
      <c r="A296" s="47"/>
    </row>
    <row r="297" spans="1:1" s="48" customFormat="1" ht="16.5" x14ac:dyDescent="0.3">
      <c r="A297" s="47"/>
    </row>
    <row r="298" spans="1:1" s="48" customFormat="1" ht="16.5" x14ac:dyDescent="0.3">
      <c r="A298" s="47"/>
    </row>
    <row r="299" spans="1:1" s="48" customFormat="1" ht="16.5" x14ac:dyDescent="0.3">
      <c r="A299" s="47"/>
    </row>
    <row r="300" spans="1:1" s="48" customFormat="1" ht="16.5" x14ac:dyDescent="0.3">
      <c r="A300" s="47"/>
    </row>
    <row r="301" spans="1:1" s="48" customFormat="1" ht="16.5" x14ac:dyDescent="0.3">
      <c r="A301" s="47"/>
    </row>
    <row r="302" spans="1:1" s="48" customFormat="1" ht="16.5" x14ac:dyDescent="0.3">
      <c r="A302" s="47"/>
    </row>
    <row r="303" spans="1:1" s="48" customFormat="1" ht="16.5" x14ac:dyDescent="0.3">
      <c r="A303" s="47"/>
    </row>
    <row r="304" spans="1:1" s="48" customFormat="1" ht="16.5" x14ac:dyDescent="0.3">
      <c r="A304" s="47"/>
    </row>
    <row r="305" spans="1:1" s="48" customFormat="1" ht="16.5" x14ac:dyDescent="0.3">
      <c r="A305" s="47"/>
    </row>
    <row r="306" spans="1:1" s="48" customFormat="1" ht="16.5" x14ac:dyDescent="0.3">
      <c r="A306" s="47"/>
    </row>
    <row r="307" spans="1:1" s="48" customFormat="1" ht="16.5" x14ac:dyDescent="0.3">
      <c r="A307" s="47"/>
    </row>
    <row r="308" spans="1:1" s="48" customFormat="1" ht="16.5" x14ac:dyDescent="0.3">
      <c r="A308" s="47"/>
    </row>
    <row r="309" spans="1:1" s="48" customFormat="1" ht="16.5" x14ac:dyDescent="0.3">
      <c r="A309" s="47"/>
    </row>
    <row r="310" spans="1:1" s="48" customFormat="1" ht="16.5" x14ac:dyDescent="0.3">
      <c r="A310" s="47"/>
    </row>
    <row r="311" spans="1:1" s="48" customFormat="1" ht="16.5" x14ac:dyDescent="0.3">
      <c r="A311" s="47"/>
    </row>
    <row r="312" spans="1:1" s="48" customFormat="1" ht="16.5" x14ac:dyDescent="0.3">
      <c r="A312" s="47"/>
    </row>
    <row r="313" spans="1:1" s="48" customFormat="1" ht="16.5" x14ac:dyDescent="0.3">
      <c r="A313" s="47"/>
    </row>
    <row r="314" spans="1:1" s="48" customFormat="1" ht="16.5" x14ac:dyDescent="0.3">
      <c r="A314" s="47"/>
    </row>
    <row r="315" spans="1:1" s="48" customFormat="1" ht="16.5" x14ac:dyDescent="0.3">
      <c r="A315" s="47"/>
    </row>
    <row r="316" spans="1:1" s="48" customFormat="1" ht="16.5" x14ac:dyDescent="0.3">
      <c r="A316" s="47"/>
    </row>
    <row r="317" spans="1:1" s="48" customFormat="1" ht="16.5" x14ac:dyDescent="0.3">
      <c r="A317" s="47"/>
    </row>
    <row r="318" spans="1:1" s="48" customFormat="1" ht="16.5" x14ac:dyDescent="0.3">
      <c r="A318" s="47"/>
    </row>
    <row r="319" spans="1:1" s="48" customFormat="1" ht="16.5" x14ac:dyDescent="0.3">
      <c r="A319" s="47"/>
    </row>
    <row r="320" spans="1:1" s="48" customFormat="1" ht="16.5" x14ac:dyDescent="0.3">
      <c r="A320" s="47"/>
    </row>
    <row r="321" spans="1:1" s="48" customFormat="1" ht="16.5" x14ac:dyDescent="0.3">
      <c r="A321" s="47"/>
    </row>
    <row r="322" spans="1:1" s="48" customFormat="1" ht="16.5" x14ac:dyDescent="0.3">
      <c r="A322" s="47"/>
    </row>
    <row r="323" spans="1:1" s="48" customFormat="1" ht="16.5" x14ac:dyDescent="0.3">
      <c r="A323" s="47"/>
    </row>
    <row r="324" spans="1:1" s="48" customFormat="1" ht="16.5" x14ac:dyDescent="0.3">
      <c r="A324" s="47"/>
    </row>
    <row r="325" spans="1:1" s="48" customFormat="1" ht="16.5" x14ac:dyDescent="0.3">
      <c r="A325" s="47"/>
    </row>
    <row r="326" spans="1:1" s="48" customFormat="1" ht="16.5" x14ac:dyDescent="0.3">
      <c r="A326" s="47"/>
    </row>
    <row r="327" spans="1:1" s="48" customFormat="1" ht="16.5" x14ac:dyDescent="0.3">
      <c r="A327" s="47"/>
    </row>
    <row r="328" spans="1:1" s="48" customFormat="1" ht="16.5" x14ac:dyDescent="0.3">
      <c r="A328" s="47"/>
    </row>
    <row r="329" spans="1:1" s="48" customFormat="1" ht="16.5" x14ac:dyDescent="0.3">
      <c r="A329" s="47"/>
    </row>
    <row r="330" spans="1:1" s="48" customFormat="1" ht="16.5" x14ac:dyDescent="0.3">
      <c r="A330" s="47"/>
    </row>
    <row r="331" spans="1:1" s="48" customFormat="1" ht="16.5" x14ac:dyDescent="0.3">
      <c r="A331" s="47"/>
    </row>
    <row r="332" spans="1:1" s="48" customFormat="1" ht="16.5" x14ac:dyDescent="0.3">
      <c r="A332" s="47"/>
    </row>
    <row r="333" spans="1:1" s="48" customFormat="1" ht="16.5" x14ac:dyDescent="0.3">
      <c r="A333" s="47"/>
    </row>
    <row r="334" spans="1:1" s="48" customFormat="1" ht="16.5" x14ac:dyDescent="0.3">
      <c r="A334" s="47"/>
    </row>
    <row r="335" spans="1:1" s="48" customFormat="1" ht="16.5" x14ac:dyDescent="0.3">
      <c r="A335" s="47"/>
    </row>
    <row r="336" spans="1:1" s="48" customFormat="1" ht="16.5" x14ac:dyDescent="0.3">
      <c r="A336" s="47"/>
    </row>
    <row r="337" spans="1:1" s="48" customFormat="1" ht="16.5" x14ac:dyDescent="0.3">
      <c r="A337" s="47"/>
    </row>
    <row r="338" spans="1:1" s="48" customFormat="1" ht="16.5" x14ac:dyDescent="0.3">
      <c r="A338" s="47"/>
    </row>
    <row r="339" spans="1:1" s="48" customFormat="1" ht="16.5" x14ac:dyDescent="0.3">
      <c r="A339" s="47"/>
    </row>
    <row r="340" spans="1:1" s="48" customFormat="1" ht="16.5" x14ac:dyDescent="0.3">
      <c r="A340" s="47"/>
    </row>
    <row r="341" spans="1:1" s="48" customFormat="1" ht="16.5" x14ac:dyDescent="0.3">
      <c r="A341" s="47"/>
    </row>
    <row r="342" spans="1:1" s="48" customFormat="1" ht="16.5" x14ac:dyDescent="0.3">
      <c r="A342" s="47"/>
    </row>
    <row r="343" spans="1:1" s="48" customFormat="1" ht="16.5" x14ac:dyDescent="0.3">
      <c r="A343" s="47"/>
    </row>
    <row r="344" spans="1:1" s="48" customFormat="1" ht="16.5" x14ac:dyDescent="0.3">
      <c r="A344" s="47"/>
    </row>
    <row r="345" spans="1:1" s="48" customFormat="1" ht="16.5" x14ac:dyDescent="0.3">
      <c r="A345" s="47"/>
    </row>
    <row r="346" spans="1:1" s="48" customFormat="1" ht="16.5" x14ac:dyDescent="0.3">
      <c r="A346" s="47"/>
    </row>
    <row r="347" spans="1:1" s="48" customFormat="1" ht="16.5" x14ac:dyDescent="0.3">
      <c r="A347" s="47"/>
    </row>
    <row r="348" spans="1:1" s="48" customFormat="1" ht="16.5" x14ac:dyDescent="0.3">
      <c r="A348" s="47"/>
    </row>
    <row r="349" spans="1:1" s="48" customFormat="1" ht="16.5" x14ac:dyDescent="0.3">
      <c r="A349" s="47"/>
    </row>
    <row r="350" spans="1:1" s="48" customFormat="1" ht="16.5" x14ac:dyDescent="0.3">
      <c r="A350" s="47"/>
    </row>
    <row r="351" spans="1:1" s="48" customFormat="1" ht="16.5" x14ac:dyDescent="0.3">
      <c r="A351" s="47"/>
    </row>
    <row r="352" spans="1:1" s="48" customFormat="1" ht="16.5" x14ac:dyDescent="0.3">
      <c r="A352" s="47"/>
    </row>
    <row r="353" spans="1:1" s="48" customFormat="1" ht="16.5" x14ac:dyDescent="0.3">
      <c r="A353" s="47"/>
    </row>
    <row r="354" spans="1:1" s="48" customFormat="1" ht="16.5" x14ac:dyDescent="0.3">
      <c r="A354" s="47"/>
    </row>
    <row r="355" spans="1:1" s="48" customFormat="1" ht="16.5" x14ac:dyDescent="0.3">
      <c r="A355" s="47"/>
    </row>
    <row r="356" spans="1:1" s="48" customFormat="1" ht="16.5" x14ac:dyDescent="0.3">
      <c r="A356" s="47"/>
    </row>
    <row r="357" spans="1:1" s="48" customFormat="1" ht="16.5" x14ac:dyDescent="0.3">
      <c r="A357" s="47"/>
    </row>
    <row r="358" spans="1:1" s="48" customFormat="1" ht="16.5" x14ac:dyDescent="0.3">
      <c r="A358" s="47"/>
    </row>
    <row r="359" spans="1:1" s="48" customFormat="1" ht="16.5" x14ac:dyDescent="0.3">
      <c r="A359" s="47"/>
    </row>
    <row r="360" spans="1:1" s="48" customFormat="1" ht="16.5" x14ac:dyDescent="0.3">
      <c r="A360" s="47"/>
    </row>
    <row r="361" spans="1:1" s="48" customFormat="1" ht="16.5" x14ac:dyDescent="0.3">
      <c r="A361" s="47"/>
    </row>
    <row r="362" spans="1:1" s="48" customFormat="1" ht="16.5" x14ac:dyDescent="0.3">
      <c r="A362" s="47"/>
    </row>
    <row r="363" spans="1:1" s="48" customFormat="1" ht="16.5" x14ac:dyDescent="0.3">
      <c r="A363" s="47"/>
    </row>
    <row r="364" spans="1:1" s="48" customFormat="1" ht="16.5" x14ac:dyDescent="0.3">
      <c r="A364" s="47"/>
    </row>
    <row r="365" spans="1:1" s="48" customFormat="1" ht="16.5" x14ac:dyDescent="0.3">
      <c r="A365" s="47"/>
    </row>
    <row r="366" spans="1:1" s="48" customFormat="1" ht="16.5" x14ac:dyDescent="0.3">
      <c r="A366" s="47"/>
    </row>
    <row r="367" spans="1:1" s="48" customFormat="1" ht="16.5" x14ac:dyDescent="0.3">
      <c r="A367" s="47"/>
    </row>
    <row r="368" spans="1:1" s="48" customFormat="1" ht="16.5" x14ac:dyDescent="0.3">
      <c r="A368" s="47"/>
    </row>
    <row r="369" spans="1:1" s="48" customFormat="1" ht="16.5" x14ac:dyDescent="0.3">
      <c r="A369" s="47"/>
    </row>
    <row r="370" spans="1:1" s="48" customFormat="1" ht="16.5" x14ac:dyDescent="0.3">
      <c r="A370" s="47"/>
    </row>
    <row r="371" spans="1:1" s="48" customFormat="1" ht="16.5" x14ac:dyDescent="0.3">
      <c r="A371" s="47"/>
    </row>
    <row r="372" spans="1:1" s="48" customFormat="1" ht="16.5" x14ac:dyDescent="0.3">
      <c r="A372" s="47"/>
    </row>
    <row r="373" spans="1:1" s="48" customFormat="1" ht="16.5" x14ac:dyDescent="0.3">
      <c r="A373" s="47"/>
    </row>
    <row r="374" spans="1:1" s="48" customFormat="1" ht="16.5" x14ac:dyDescent="0.3">
      <c r="A374" s="47"/>
    </row>
    <row r="375" spans="1:1" s="48" customFormat="1" ht="16.5" x14ac:dyDescent="0.3">
      <c r="A375" s="47"/>
    </row>
    <row r="376" spans="1:1" s="48" customFormat="1" ht="16.5" x14ac:dyDescent="0.3">
      <c r="A376" s="47"/>
    </row>
    <row r="377" spans="1:1" s="48" customFormat="1" ht="16.5" x14ac:dyDescent="0.3">
      <c r="A377" s="47"/>
    </row>
    <row r="378" spans="1:1" s="48" customFormat="1" ht="16.5" x14ac:dyDescent="0.3">
      <c r="A378" s="47"/>
    </row>
    <row r="379" spans="1:1" s="48" customFormat="1" ht="16.5" x14ac:dyDescent="0.3">
      <c r="A379" s="47"/>
    </row>
    <row r="380" spans="1:1" s="48" customFormat="1" ht="16.5" x14ac:dyDescent="0.3">
      <c r="A380" s="47"/>
    </row>
    <row r="381" spans="1:1" s="48" customFormat="1" ht="16.5" x14ac:dyDescent="0.3">
      <c r="A381" s="47"/>
    </row>
    <row r="382" spans="1:1" s="48" customFormat="1" ht="16.5" x14ac:dyDescent="0.3">
      <c r="A382" s="47"/>
    </row>
    <row r="383" spans="1:1" s="48" customFormat="1" ht="16.5" x14ac:dyDescent="0.3">
      <c r="A383" s="47"/>
    </row>
    <row r="384" spans="1:1" s="48" customFormat="1" ht="16.5" x14ac:dyDescent="0.3">
      <c r="A384" s="47"/>
    </row>
    <row r="385" spans="1:1" s="48" customFormat="1" ht="16.5" x14ac:dyDescent="0.3">
      <c r="A385" s="47"/>
    </row>
    <row r="386" spans="1:1" s="48" customFormat="1" ht="16.5" x14ac:dyDescent="0.3">
      <c r="A386" s="47"/>
    </row>
    <row r="387" spans="1:1" s="48" customFormat="1" ht="16.5" x14ac:dyDescent="0.3">
      <c r="A387" s="47"/>
    </row>
    <row r="388" spans="1:1" s="48" customFormat="1" ht="16.5" x14ac:dyDescent="0.3">
      <c r="A388" s="47"/>
    </row>
    <row r="389" spans="1:1" s="48" customFormat="1" ht="16.5" x14ac:dyDescent="0.3">
      <c r="A389" s="47"/>
    </row>
    <row r="390" spans="1:1" s="48" customFormat="1" ht="16.5" x14ac:dyDescent="0.3">
      <c r="A390" s="47"/>
    </row>
    <row r="391" spans="1:1" s="48" customFormat="1" ht="16.5" x14ac:dyDescent="0.3">
      <c r="A391" s="47"/>
    </row>
    <row r="392" spans="1:1" s="48" customFormat="1" ht="16.5" x14ac:dyDescent="0.3">
      <c r="A392" s="47"/>
    </row>
    <row r="393" spans="1:1" s="48" customFormat="1" ht="16.5" x14ac:dyDescent="0.3">
      <c r="A393" s="47"/>
    </row>
    <row r="394" spans="1:1" s="48" customFormat="1" ht="16.5" x14ac:dyDescent="0.3">
      <c r="A394" s="47"/>
    </row>
    <row r="395" spans="1:1" s="48" customFormat="1" ht="16.5" x14ac:dyDescent="0.3">
      <c r="A395" s="47"/>
    </row>
    <row r="396" spans="1:1" s="48" customFormat="1" ht="16.5" x14ac:dyDescent="0.3">
      <c r="A396" s="47"/>
    </row>
    <row r="397" spans="1:1" s="48" customFormat="1" ht="16.5" x14ac:dyDescent="0.3">
      <c r="A397" s="47"/>
    </row>
    <row r="398" spans="1:1" s="48" customFormat="1" ht="16.5" x14ac:dyDescent="0.3">
      <c r="A398" s="47"/>
    </row>
    <row r="399" spans="1:1" s="48" customFormat="1" ht="16.5" x14ac:dyDescent="0.3">
      <c r="A399" s="47"/>
    </row>
    <row r="400" spans="1:1" s="48" customFormat="1" ht="16.5" x14ac:dyDescent="0.3">
      <c r="A400" s="47"/>
    </row>
    <row r="401" spans="1:1" s="48" customFormat="1" ht="16.5" x14ac:dyDescent="0.3">
      <c r="A401" s="47"/>
    </row>
    <row r="402" spans="1:1" s="48" customFormat="1" ht="16.5" x14ac:dyDescent="0.3">
      <c r="A402" s="47"/>
    </row>
    <row r="403" spans="1:1" s="48" customFormat="1" ht="16.5" x14ac:dyDescent="0.3">
      <c r="A403" s="47"/>
    </row>
    <row r="404" spans="1:1" s="48" customFormat="1" ht="16.5" x14ac:dyDescent="0.3">
      <c r="A404" s="47"/>
    </row>
    <row r="405" spans="1:1" s="48" customFormat="1" ht="16.5" x14ac:dyDescent="0.3">
      <c r="A405" s="47"/>
    </row>
    <row r="406" spans="1:1" s="48" customFormat="1" ht="16.5" x14ac:dyDescent="0.3">
      <c r="A406" s="47"/>
    </row>
    <row r="407" spans="1:1" s="48" customFormat="1" ht="16.5" x14ac:dyDescent="0.3">
      <c r="A407" s="47"/>
    </row>
    <row r="408" spans="1:1" s="48" customFormat="1" ht="16.5" x14ac:dyDescent="0.3">
      <c r="A408" s="47"/>
    </row>
    <row r="409" spans="1:1" s="48" customFormat="1" ht="16.5" x14ac:dyDescent="0.3">
      <c r="A409" s="47"/>
    </row>
    <row r="410" spans="1:1" s="48" customFormat="1" ht="16.5" x14ac:dyDescent="0.3">
      <c r="A410" s="47"/>
    </row>
    <row r="411" spans="1:1" s="48" customFormat="1" ht="16.5" x14ac:dyDescent="0.3">
      <c r="A411" s="47"/>
    </row>
    <row r="412" spans="1:1" s="48" customFormat="1" ht="16.5" x14ac:dyDescent="0.3">
      <c r="A412" s="47"/>
    </row>
    <row r="413" spans="1:1" s="48" customFormat="1" ht="16.5" x14ac:dyDescent="0.3">
      <c r="A413" s="47"/>
    </row>
    <row r="414" spans="1:1" s="48" customFormat="1" ht="16.5" x14ac:dyDescent="0.3">
      <c r="A414" s="47"/>
    </row>
    <row r="415" spans="1:1" s="48" customFormat="1" ht="16.5" x14ac:dyDescent="0.3">
      <c r="A415" s="47"/>
    </row>
    <row r="416" spans="1:1" s="48" customFormat="1" ht="16.5" x14ac:dyDescent="0.3">
      <c r="A416" s="47"/>
    </row>
    <row r="417" spans="1:1" s="48" customFormat="1" ht="16.5" x14ac:dyDescent="0.3">
      <c r="A417" s="47"/>
    </row>
    <row r="418" spans="1:1" s="48" customFormat="1" ht="16.5" x14ac:dyDescent="0.3">
      <c r="A418" s="47"/>
    </row>
    <row r="419" spans="1:1" s="48" customFormat="1" ht="16.5" x14ac:dyDescent="0.3">
      <c r="A419" s="47"/>
    </row>
    <row r="420" spans="1:1" s="48" customFormat="1" ht="16.5" x14ac:dyDescent="0.3">
      <c r="A420" s="47"/>
    </row>
    <row r="421" spans="1:1" s="48" customFormat="1" ht="16.5" x14ac:dyDescent="0.3">
      <c r="A421" s="47"/>
    </row>
    <row r="422" spans="1:1" s="48" customFormat="1" ht="16.5" x14ac:dyDescent="0.3">
      <c r="A422" s="47"/>
    </row>
    <row r="423" spans="1:1" s="48" customFormat="1" ht="16.5" x14ac:dyDescent="0.3">
      <c r="A423" s="47"/>
    </row>
    <row r="424" spans="1:1" s="48" customFormat="1" ht="16.5" x14ac:dyDescent="0.3">
      <c r="A424" s="47"/>
    </row>
    <row r="425" spans="1:1" s="48" customFormat="1" ht="16.5" x14ac:dyDescent="0.3">
      <c r="A425" s="47"/>
    </row>
    <row r="426" spans="1:1" s="48" customFormat="1" ht="16.5" x14ac:dyDescent="0.3">
      <c r="A426" s="47"/>
    </row>
    <row r="427" spans="1:1" s="48" customFormat="1" ht="16.5" x14ac:dyDescent="0.3">
      <c r="A427" s="47"/>
    </row>
    <row r="428" spans="1:1" s="48" customFormat="1" ht="16.5" x14ac:dyDescent="0.3">
      <c r="A428" s="47"/>
    </row>
    <row r="429" spans="1:1" s="48" customFormat="1" ht="16.5" x14ac:dyDescent="0.3">
      <c r="A429" s="47"/>
    </row>
    <row r="430" spans="1:1" s="48" customFormat="1" ht="16.5" x14ac:dyDescent="0.3">
      <c r="A430" s="47"/>
    </row>
    <row r="431" spans="1:1" s="48" customFormat="1" ht="16.5" x14ac:dyDescent="0.3">
      <c r="A431" s="47"/>
    </row>
    <row r="432" spans="1:1" s="48" customFormat="1" ht="16.5" x14ac:dyDescent="0.3">
      <c r="A432" s="47"/>
    </row>
    <row r="433" spans="1:1" s="48" customFormat="1" ht="16.5" x14ac:dyDescent="0.3">
      <c r="A433" s="47"/>
    </row>
    <row r="434" spans="1:1" s="48" customFormat="1" ht="16.5" x14ac:dyDescent="0.3">
      <c r="A434" s="47"/>
    </row>
    <row r="435" spans="1:1" s="48" customFormat="1" ht="16.5" x14ac:dyDescent="0.3">
      <c r="A435" s="47"/>
    </row>
    <row r="436" spans="1:1" s="48" customFormat="1" ht="16.5" x14ac:dyDescent="0.3">
      <c r="A436" s="47"/>
    </row>
    <row r="437" spans="1:1" s="48" customFormat="1" ht="16.5" x14ac:dyDescent="0.3">
      <c r="A437" s="47"/>
    </row>
    <row r="438" spans="1:1" s="48" customFormat="1" ht="16.5" x14ac:dyDescent="0.3">
      <c r="A438" s="47"/>
    </row>
    <row r="439" spans="1:1" s="48" customFormat="1" ht="16.5" x14ac:dyDescent="0.3">
      <c r="A439" s="47"/>
    </row>
    <row r="440" spans="1:1" s="48" customFormat="1" ht="16.5" x14ac:dyDescent="0.3">
      <c r="A440" s="47"/>
    </row>
    <row r="441" spans="1:1" s="48" customFormat="1" ht="16.5" x14ac:dyDescent="0.3">
      <c r="A441" s="47"/>
    </row>
    <row r="442" spans="1:1" s="48" customFormat="1" ht="16.5" x14ac:dyDescent="0.3">
      <c r="A442" s="47"/>
    </row>
    <row r="443" spans="1:1" s="48" customFormat="1" ht="16.5" x14ac:dyDescent="0.3">
      <c r="A443" s="47"/>
    </row>
    <row r="444" spans="1:1" s="48" customFormat="1" ht="16.5" x14ac:dyDescent="0.3">
      <c r="A444" s="47"/>
    </row>
    <row r="445" spans="1:1" s="48" customFormat="1" ht="16.5" x14ac:dyDescent="0.3">
      <c r="A445" s="47"/>
    </row>
    <row r="446" spans="1:1" s="48" customFormat="1" ht="16.5" x14ac:dyDescent="0.3">
      <c r="A446" s="47"/>
    </row>
    <row r="447" spans="1:1" s="48" customFormat="1" ht="16.5" x14ac:dyDescent="0.3">
      <c r="A447" s="47"/>
    </row>
    <row r="448" spans="1:1" s="48" customFormat="1" ht="16.5" x14ac:dyDescent="0.3">
      <c r="A448" s="47"/>
    </row>
    <row r="449" spans="1:1" s="48" customFormat="1" ht="16.5" x14ac:dyDescent="0.3">
      <c r="A449" s="47"/>
    </row>
    <row r="450" spans="1:1" s="48" customFormat="1" ht="16.5" x14ac:dyDescent="0.3">
      <c r="A450" s="47"/>
    </row>
    <row r="451" spans="1:1" s="48" customFormat="1" ht="16.5" x14ac:dyDescent="0.3">
      <c r="A451" s="47"/>
    </row>
    <row r="452" spans="1:1" s="48" customFormat="1" ht="16.5" x14ac:dyDescent="0.3">
      <c r="A452" s="47"/>
    </row>
    <row r="453" spans="1:1" s="48" customFormat="1" ht="16.5" x14ac:dyDescent="0.3">
      <c r="A453" s="47"/>
    </row>
    <row r="454" spans="1:1" s="48" customFormat="1" ht="16.5" x14ac:dyDescent="0.3">
      <c r="A454" s="47"/>
    </row>
    <row r="455" spans="1:1" s="48" customFormat="1" ht="16.5" x14ac:dyDescent="0.3">
      <c r="A455" s="47"/>
    </row>
    <row r="456" spans="1:1" s="48" customFormat="1" ht="16.5" x14ac:dyDescent="0.3">
      <c r="A456" s="47"/>
    </row>
    <row r="457" spans="1:1" s="48" customFormat="1" ht="16.5" x14ac:dyDescent="0.3">
      <c r="A457" s="47"/>
    </row>
    <row r="458" spans="1:1" s="48" customFormat="1" ht="16.5" x14ac:dyDescent="0.3">
      <c r="A458" s="47"/>
    </row>
    <row r="459" spans="1:1" s="48" customFormat="1" ht="16.5" x14ac:dyDescent="0.3">
      <c r="A459" s="47"/>
    </row>
    <row r="460" spans="1:1" s="48" customFormat="1" ht="16.5" x14ac:dyDescent="0.3">
      <c r="A460" s="47"/>
    </row>
    <row r="461" spans="1:1" s="48" customFormat="1" ht="16.5" x14ac:dyDescent="0.3">
      <c r="A461" s="47"/>
    </row>
    <row r="462" spans="1:1" s="48" customFormat="1" ht="16.5" x14ac:dyDescent="0.3">
      <c r="A462" s="47"/>
    </row>
    <row r="463" spans="1:1" s="48" customFormat="1" ht="16.5" x14ac:dyDescent="0.3">
      <c r="A463" s="47"/>
    </row>
    <row r="464" spans="1:1" s="48" customFormat="1" ht="16.5" x14ac:dyDescent="0.3">
      <c r="A464" s="47"/>
    </row>
    <row r="465" spans="1:1" s="48" customFormat="1" ht="16.5" x14ac:dyDescent="0.3">
      <c r="A465" s="47"/>
    </row>
    <row r="466" spans="1:1" s="48" customFormat="1" ht="16.5" x14ac:dyDescent="0.3">
      <c r="A466" s="47"/>
    </row>
    <row r="467" spans="1:1" s="48" customFormat="1" ht="16.5" x14ac:dyDescent="0.3">
      <c r="A467" s="47"/>
    </row>
    <row r="468" spans="1:1" s="48" customFormat="1" ht="16.5" x14ac:dyDescent="0.3">
      <c r="A468" s="47"/>
    </row>
    <row r="469" spans="1:1" s="48" customFormat="1" ht="16.5" x14ac:dyDescent="0.3">
      <c r="A469" s="47"/>
    </row>
    <row r="470" spans="1:1" s="48" customFormat="1" ht="16.5" x14ac:dyDescent="0.3">
      <c r="A470" s="47"/>
    </row>
    <row r="471" spans="1:1" s="48" customFormat="1" ht="16.5" x14ac:dyDescent="0.3">
      <c r="A471" s="47"/>
    </row>
    <row r="472" spans="1:1" s="48" customFormat="1" ht="16.5" x14ac:dyDescent="0.3">
      <c r="A472" s="47"/>
    </row>
    <row r="473" spans="1:1" s="48" customFormat="1" ht="16.5" x14ac:dyDescent="0.3">
      <c r="A473" s="47"/>
    </row>
    <row r="474" spans="1:1" s="48" customFormat="1" ht="16.5" x14ac:dyDescent="0.3">
      <c r="A474" s="47"/>
    </row>
    <row r="475" spans="1:1" s="48" customFormat="1" ht="16.5" x14ac:dyDescent="0.3">
      <c r="A475" s="47"/>
    </row>
    <row r="476" spans="1:1" s="48" customFormat="1" ht="16.5" x14ac:dyDescent="0.3">
      <c r="A476" s="47"/>
    </row>
    <row r="477" spans="1:1" s="48" customFormat="1" ht="16.5" x14ac:dyDescent="0.3">
      <c r="A477" s="47"/>
    </row>
    <row r="478" spans="1:1" s="48" customFormat="1" ht="16.5" x14ac:dyDescent="0.3">
      <c r="A478" s="47"/>
    </row>
    <row r="479" spans="1:1" s="48" customFormat="1" ht="16.5" x14ac:dyDescent="0.3">
      <c r="A479" s="47"/>
    </row>
    <row r="480" spans="1:1" s="48" customFormat="1" ht="16.5" x14ac:dyDescent="0.3">
      <c r="A480" s="47"/>
    </row>
    <row r="481" spans="1:1" s="48" customFormat="1" ht="16.5" x14ac:dyDescent="0.3">
      <c r="A481" s="47"/>
    </row>
    <row r="482" spans="1:1" s="48" customFormat="1" ht="16.5" x14ac:dyDescent="0.3">
      <c r="A482" s="47"/>
    </row>
    <row r="483" spans="1:1" s="48" customFormat="1" ht="16.5" x14ac:dyDescent="0.3">
      <c r="A483" s="47"/>
    </row>
    <row r="484" spans="1:1" s="48" customFormat="1" ht="16.5" x14ac:dyDescent="0.3">
      <c r="A484" s="47"/>
    </row>
    <row r="485" spans="1:1" s="48" customFormat="1" ht="16.5" x14ac:dyDescent="0.3">
      <c r="A485" s="47"/>
    </row>
    <row r="486" spans="1:1" s="48" customFormat="1" ht="16.5" x14ac:dyDescent="0.3">
      <c r="A486" s="47"/>
    </row>
    <row r="487" spans="1:1" s="48" customFormat="1" ht="16.5" x14ac:dyDescent="0.3">
      <c r="A487" s="47"/>
    </row>
    <row r="488" spans="1:1" s="48" customFormat="1" ht="16.5" x14ac:dyDescent="0.3">
      <c r="A488" s="47"/>
    </row>
    <row r="489" spans="1:1" s="48" customFormat="1" ht="16.5" x14ac:dyDescent="0.3">
      <c r="A489" s="47"/>
    </row>
    <row r="490" spans="1:1" s="48" customFormat="1" ht="16.5" x14ac:dyDescent="0.3">
      <c r="A490" s="47"/>
    </row>
    <row r="491" spans="1:1" s="48" customFormat="1" ht="16.5" x14ac:dyDescent="0.3">
      <c r="A491" s="47"/>
    </row>
    <row r="492" spans="1:1" s="48" customFormat="1" ht="16.5" x14ac:dyDescent="0.3">
      <c r="A492" s="47"/>
    </row>
    <row r="493" spans="1:1" s="48" customFormat="1" ht="16.5" x14ac:dyDescent="0.3">
      <c r="A493" s="47"/>
    </row>
    <row r="494" spans="1:1" s="48" customFormat="1" ht="16.5" x14ac:dyDescent="0.3">
      <c r="A494" s="47"/>
    </row>
    <row r="495" spans="1:1" s="48" customFormat="1" ht="16.5" x14ac:dyDescent="0.3">
      <c r="A495" s="47"/>
    </row>
    <row r="496" spans="1:1" s="48" customFormat="1" ht="16.5" x14ac:dyDescent="0.3">
      <c r="A496" s="47"/>
    </row>
    <row r="497" spans="1:1" s="48" customFormat="1" ht="16.5" x14ac:dyDescent="0.3">
      <c r="A497" s="47"/>
    </row>
    <row r="498" spans="1:1" s="48" customFormat="1" ht="16.5" x14ac:dyDescent="0.3">
      <c r="A498" s="47"/>
    </row>
    <row r="499" spans="1:1" s="48" customFormat="1" ht="16.5" x14ac:dyDescent="0.3">
      <c r="A499" s="47"/>
    </row>
    <row r="500" spans="1:1" s="48" customFormat="1" ht="16.5" x14ac:dyDescent="0.3">
      <c r="A500" s="47"/>
    </row>
    <row r="501" spans="1:1" s="48" customFormat="1" ht="16.5" x14ac:dyDescent="0.3">
      <c r="A501" s="47"/>
    </row>
    <row r="502" spans="1:1" s="48" customFormat="1" ht="16.5" x14ac:dyDescent="0.3">
      <c r="A502" s="47"/>
    </row>
    <row r="503" spans="1:1" s="48" customFormat="1" ht="16.5" x14ac:dyDescent="0.3">
      <c r="A503" s="47"/>
    </row>
    <row r="504" spans="1:1" s="48" customFormat="1" ht="16.5" x14ac:dyDescent="0.3">
      <c r="A504" s="47"/>
    </row>
    <row r="505" spans="1:1" s="48" customFormat="1" ht="16.5" x14ac:dyDescent="0.3">
      <c r="A505" s="47"/>
    </row>
    <row r="506" spans="1:1" s="48" customFormat="1" ht="16.5" x14ac:dyDescent="0.3">
      <c r="A506" s="47"/>
    </row>
    <row r="507" spans="1:1" s="48" customFormat="1" ht="16.5" x14ac:dyDescent="0.3">
      <c r="A507" s="47"/>
    </row>
    <row r="508" spans="1:1" s="48" customFormat="1" ht="16.5" x14ac:dyDescent="0.3">
      <c r="A508" s="47"/>
    </row>
    <row r="509" spans="1:1" s="48" customFormat="1" ht="16.5" x14ac:dyDescent="0.3">
      <c r="A509" s="47"/>
    </row>
    <row r="510" spans="1:1" s="48" customFormat="1" ht="16.5" x14ac:dyDescent="0.3">
      <c r="A510" s="47"/>
    </row>
    <row r="511" spans="1:1" s="48" customFormat="1" ht="16.5" x14ac:dyDescent="0.3">
      <c r="A511" s="47"/>
    </row>
    <row r="512" spans="1:1" s="48" customFormat="1" ht="16.5" x14ac:dyDescent="0.3">
      <c r="A512" s="47"/>
    </row>
    <row r="513" spans="1:1" s="48" customFormat="1" ht="16.5" x14ac:dyDescent="0.3">
      <c r="A513" s="47"/>
    </row>
    <row r="514" spans="1:1" s="48" customFormat="1" ht="16.5" x14ac:dyDescent="0.3">
      <c r="A514" s="47"/>
    </row>
    <row r="515" spans="1:1" s="48" customFormat="1" ht="16.5" x14ac:dyDescent="0.3">
      <c r="A515" s="47"/>
    </row>
    <row r="516" spans="1:1" s="48" customFormat="1" ht="16.5" x14ac:dyDescent="0.3">
      <c r="A516" s="47"/>
    </row>
    <row r="517" spans="1:1" s="48" customFormat="1" ht="16.5" x14ac:dyDescent="0.3">
      <c r="A517" s="47"/>
    </row>
    <row r="518" spans="1:1" s="48" customFormat="1" ht="16.5" x14ac:dyDescent="0.3">
      <c r="A518" s="47"/>
    </row>
    <row r="519" spans="1:1" s="48" customFormat="1" ht="16.5" x14ac:dyDescent="0.3">
      <c r="A519" s="47"/>
    </row>
    <row r="520" spans="1:1" s="48" customFormat="1" ht="16.5" x14ac:dyDescent="0.3">
      <c r="A520" s="47"/>
    </row>
    <row r="521" spans="1:1" s="48" customFormat="1" ht="16.5" x14ac:dyDescent="0.3">
      <c r="A521" s="47"/>
    </row>
    <row r="522" spans="1:1" s="48" customFormat="1" ht="16.5" x14ac:dyDescent="0.3">
      <c r="A522" s="47"/>
    </row>
    <row r="523" spans="1:1" s="48" customFormat="1" ht="16.5" x14ac:dyDescent="0.3">
      <c r="A523" s="47"/>
    </row>
    <row r="524" spans="1:1" s="48" customFormat="1" ht="16.5" x14ac:dyDescent="0.3">
      <c r="A524" s="47"/>
    </row>
    <row r="525" spans="1:1" s="48" customFormat="1" ht="16.5" x14ac:dyDescent="0.3">
      <c r="A525" s="47"/>
    </row>
    <row r="526" spans="1:1" s="48" customFormat="1" ht="16.5" x14ac:dyDescent="0.3">
      <c r="A526" s="47"/>
    </row>
    <row r="527" spans="1:1" s="48" customFormat="1" ht="16.5" x14ac:dyDescent="0.3">
      <c r="A527" s="47"/>
    </row>
    <row r="528" spans="1:1" s="48" customFormat="1" ht="16.5" x14ac:dyDescent="0.3">
      <c r="A528" s="47"/>
    </row>
    <row r="529" spans="1:1" s="48" customFormat="1" ht="16.5" x14ac:dyDescent="0.3">
      <c r="A529" s="47"/>
    </row>
    <row r="530" spans="1:1" s="48" customFormat="1" ht="16.5" x14ac:dyDescent="0.3">
      <c r="A530" s="47"/>
    </row>
    <row r="531" spans="1:1" s="48" customFormat="1" ht="16.5" x14ac:dyDescent="0.3">
      <c r="A531" s="47"/>
    </row>
    <row r="532" spans="1:1" s="48" customFormat="1" ht="16.5" x14ac:dyDescent="0.3">
      <c r="A532" s="47"/>
    </row>
    <row r="533" spans="1:1" s="48" customFormat="1" ht="16.5" x14ac:dyDescent="0.3">
      <c r="A533" s="47"/>
    </row>
    <row r="534" spans="1:1" s="48" customFormat="1" ht="16.5" x14ac:dyDescent="0.3">
      <c r="A534" s="47"/>
    </row>
    <row r="535" spans="1:1" s="48" customFormat="1" ht="16.5" x14ac:dyDescent="0.3">
      <c r="A535" s="47"/>
    </row>
    <row r="536" spans="1:1" s="48" customFormat="1" ht="16.5" x14ac:dyDescent="0.3">
      <c r="A536" s="47"/>
    </row>
    <row r="537" spans="1:1" s="48" customFormat="1" ht="16.5" x14ac:dyDescent="0.3">
      <c r="A537" s="47"/>
    </row>
    <row r="538" spans="1:1" s="48" customFormat="1" ht="16.5" x14ac:dyDescent="0.3">
      <c r="A538" s="47"/>
    </row>
    <row r="539" spans="1:1" s="48" customFormat="1" ht="16.5" x14ac:dyDescent="0.3">
      <c r="A539" s="47"/>
    </row>
    <row r="540" spans="1:1" s="48" customFormat="1" ht="16.5" x14ac:dyDescent="0.3">
      <c r="A540" s="47"/>
    </row>
    <row r="541" spans="1:1" s="48" customFormat="1" ht="16.5" x14ac:dyDescent="0.3">
      <c r="A541" s="47"/>
    </row>
    <row r="542" spans="1:1" s="48" customFormat="1" ht="16.5" x14ac:dyDescent="0.3">
      <c r="A542" s="47"/>
    </row>
    <row r="543" spans="1:1" s="48" customFormat="1" ht="16.5" x14ac:dyDescent="0.3">
      <c r="A543" s="47"/>
    </row>
    <row r="544" spans="1:1" s="48" customFormat="1" ht="16.5" x14ac:dyDescent="0.3">
      <c r="A544" s="47"/>
    </row>
    <row r="545" spans="1:1" s="48" customFormat="1" ht="16.5" x14ac:dyDescent="0.3">
      <c r="A545" s="47"/>
    </row>
    <row r="546" spans="1:1" s="48" customFormat="1" ht="16.5" x14ac:dyDescent="0.3">
      <c r="A546" s="47"/>
    </row>
    <row r="547" spans="1:1" s="48" customFormat="1" ht="16.5" x14ac:dyDescent="0.3">
      <c r="A547" s="47"/>
    </row>
    <row r="548" spans="1:1" s="48" customFormat="1" ht="16.5" x14ac:dyDescent="0.3">
      <c r="A548" s="47"/>
    </row>
    <row r="549" spans="1:1" s="48" customFormat="1" ht="16.5" x14ac:dyDescent="0.3">
      <c r="A549" s="47"/>
    </row>
    <row r="550" spans="1:1" s="48" customFormat="1" ht="16.5" x14ac:dyDescent="0.3">
      <c r="A550" s="47"/>
    </row>
    <row r="551" spans="1:1" s="48" customFormat="1" ht="16.5" x14ac:dyDescent="0.3">
      <c r="A551" s="47"/>
    </row>
    <row r="552" spans="1:1" s="48" customFormat="1" ht="16.5" x14ac:dyDescent="0.3">
      <c r="A552" s="47"/>
    </row>
    <row r="553" spans="1:1" s="48" customFormat="1" ht="16.5" x14ac:dyDescent="0.3">
      <c r="A553" s="47"/>
    </row>
    <row r="554" spans="1:1" s="48" customFormat="1" ht="16.5" x14ac:dyDescent="0.3">
      <c r="A554" s="47"/>
    </row>
    <row r="555" spans="1:1" s="48" customFormat="1" ht="16.5" x14ac:dyDescent="0.3">
      <c r="A555" s="47"/>
    </row>
    <row r="556" spans="1:1" s="48" customFormat="1" ht="16.5" x14ac:dyDescent="0.3">
      <c r="A556" s="47"/>
    </row>
    <row r="557" spans="1:1" s="48" customFormat="1" ht="16.5" x14ac:dyDescent="0.3">
      <c r="A557" s="47"/>
    </row>
    <row r="558" spans="1:1" s="48" customFormat="1" ht="16.5" x14ac:dyDescent="0.3">
      <c r="A558" s="47"/>
    </row>
    <row r="559" spans="1:1" s="48" customFormat="1" ht="16.5" x14ac:dyDescent="0.3">
      <c r="A559" s="47"/>
    </row>
    <row r="560" spans="1:1" s="48" customFormat="1" ht="16.5" x14ac:dyDescent="0.3">
      <c r="A560" s="47"/>
    </row>
    <row r="561" spans="1:1" s="48" customFormat="1" ht="16.5" x14ac:dyDescent="0.3">
      <c r="A561" s="47"/>
    </row>
    <row r="562" spans="1:1" s="48" customFormat="1" ht="16.5" x14ac:dyDescent="0.3">
      <c r="A562" s="47"/>
    </row>
    <row r="563" spans="1:1" s="48" customFormat="1" ht="16.5" x14ac:dyDescent="0.3">
      <c r="A563" s="47"/>
    </row>
    <row r="564" spans="1:1" s="48" customFormat="1" ht="16.5" x14ac:dyDescent="0.3">
      <c r="A564" s="47"/>
    </row>
    <row r="565" spans="1:1" s="48" customFormat="1" ht="16.5" x14ac:dyDescent="0.3">
      <c r="A565" s="47"/>
    </row>
    <row r="566" spans="1:1" s="48" customFormat="1" ht="16.5" x14ac:dyDescent="0.3">
      <c r="A566" s="47"/>
    </row>
    <row r="567" spans="1:1" s="48" customFormat="1" ht="16.5" x14ac:dyDescent="0.3">
      <c r="A567" s="47"/>
    </row>
    <row r="568" spans="1:1" s="48" customFormat="1" ht="16.5" x14ac:dyDescent="0.3">
      <c r="A568" s="47"/>
    </row>
    <row r="569" spans="1:1" s="48" customFormat="1" ht="16.5" x14ac:dyDescent="0.3">
      <c r="A569" s="47"/>
    </row>
    <row r="570" spans="1:1" s="48" customFormat="1" ht="16.5" x14ac:dyDescent="0.3">
      <c r="A570" s="47"/>
    </row>
    <row r="571" spans="1:1" s="48" customFormat="1" ht="16.5" x14ac:dyDescent="0.3">
      <c r="A571" s="47"/>
    </row>
    <row r="572" spans="1:1" s="48" customFormat="1" ht="16.5" x14ac:dyDescent="0.3">
      <c r="A572" s="47"/>
    </row>
    <row r="573" spans="1:1" s="48" customFormat="1" ht="16.5" x14ac:dyDescent="0.3">
      <c r="A573" s="47"/>
    </row>
    <row r="574" spans="1:1" s="48" customFormat="1" ht="16.5" x14ac:dyDescent="0.3">
      <c r="A574" s="47"/>
    </row>
    <row r="575" spans="1:1" s="48" customFormat="1" ht="16.5" x14ac:dyDescent="0.3">
      <c r="A575" s="47"/>
    </row>
    <row r="576" spans="1:1" s="48" customFormat="1" ht="16.5" x14ac:dyDescent="0.3">
      <c r="A576" s="47"/>
    </row>
    <row r="577" spans="1:1" s="48" customFormat="1" ht="16.5" x14ac:dyDescent="0.3">
      <c r="A577" s="47"/>
    </row>
    <row r="578" spans="1:1" s="48" customFormat="1" ht="16.5" x14ac:dyDescent="0.3">
      <c r="A578" s="47"/>
    </row>
    <row r="579" spans="1:1" s="48" customFormat="1" ht="16.5" x14ac:dyDescent="0.3">
      <c r="A579" s="47"/>
    </row>
    <row r="580" spans="1:1" s="48" customFormat="1" ht="16.5" x14ac:dyDescent="0.3">
      <c r="A580" s="47"/>
    </row>
    <row r="581" spans="1:1" s="48" customFormat="1" ht="16.5" x14ac:dyDescent="0.3">
      <c r="A581" s="47"/>
    </row>
    <row r="582" spans="1:1" s="48" customFormat="1" ht="16.5" x14ac:dyDescent="0.3">
      <c r="A582" s="47"/>
    </row>
    <row r="583" spans="1:1" s="48" customFormat="1" ht="16.5" x14ac:dyDescent="0.3">
      <c r="A583" s="47"/>
    </row>
    <row r="584" spans="1:1" s="48" customFormat="1" ht="16.5" x14ac:dyDescent="0.3">
      <c r="A584" s="47"/>
    </row>
    <row r="585" spans="1:1" s="48" customFormat="1" ht="16.5" x14ac:dyDescent="0.3">
      <c r="A585" s="47"/>
    </row>
    <row r="586" spans="1:1" s="48" customFormat="1" ht="16.5" x14ac:dyDescent="0.3">
      <c r="A586" s="47"/>
    </row>
    <row r="587" spans="1:1" s="48" customFormat="1" ht="16.5" x14ac:dyDescent="0.3">
      <c r="A587" s="47"/>
    </row>
    <row r="588" spans="1:1" s="48" customFormat="1" ht="16.5" x14ac:dyDescent="0.3">
      <c r="A588" s="47"/>
    </row>
    <row r="589" spans="1:1" s="48" customFormat="1" ht="16.5" x14ac:dyDescent="0.3">
      <c r="A589" s="47"/>
    </row>
    <row r="590" spans="1:1" s="48" customFormat="1" ht="16.5" x14ac:dyDescent="0.3">
      <c r="A590" s="47"/>
    </row>
    <row r="591" spans="1:1" s="48" customFormat="1" ht="16.5" x14ac:dyDescent="0.3">
      <c r="A591" s="47"/>
    </row>
    <row r="592" spans="1:1" s="48" customFormat="1" ht="16.5" x14ac:dyDescent="0.3">
      <c r="A592" s="47"/>
    </row>
    <row r="593" spans="1:1" s="48" customFormat="1" ht="16.5" x14ac:dyDescent="0.3">
      <c r="A593" s="47"/>
    </row>
    <row r="594" spans="1:1" s="48" customFormat="1" ht="16.5" x14ac:dyDescent="0.3">
      <c r="A594" s="47"/>
    </row>
    <row r="595" spans="1:1" s="48" customFormat="1" ht="16.5" x14ac:dyDescent="0.3">
      <c r="A595" s="47"/>
    </row>
    <row r="596" spans="1:1" s="48" customFormat="1" ht="16.5" x14ac:dyDescent="0.3">
      <c r="A596" s="47"/>
    </row>
    <row r="597" spans="1:1" s="48" customFormat="1" ht="16.5" x14ac:dyDescent="0.3">
      <c r="A597" s="47"/>
    </row>
    <row r="598" spans="1:1" s="48" customFormat="1" ht="16.5" x14ac:dyDescent="0.3">
      <c r="A598" s="47"/>
    </row>
    <row r="599" spans="1:1" s="48" customFormat="1" ht="16.5" x14ac:dyDescent="0.3">
      <c r="A599" s="47"/>
    </row>
    <row r="600" spans="1:1" s="48" customFormat="1" ht="16.5" x14ac:dyDescent="0.3">
      <c r="A600" s="47"/>
    </row>
    <row r="601" spans="1:1" s="48" customFormat="1" ht="16.5" x14ac:dyDescent="0.3">
      <c r="A601" s="47"/>
    </row>
    <row r="602" spans="1:1" s="48" customFormat="1" ht="16.5" x14ac:dyDescent="0.3">
      <c r="A602" s="47"/>
    </row>
    <row r="603" spans="1:1" s="48" customFormat="1" ht="16.5" x14ac:dyDescent="0.3">
      <c r="A603" s="47"/>
    </row>
    <row r="604" spans="1:1" s="48" customFormat="1" ht="16.5" x14ac:dyDescent="0.3">
      <c r="A604" s="47"/>
    </row>
    <row r="605" spans="1:1" s="48" customFormat="1" ht="16.5" x14ac:dyDescent="0.3">
      <c r="A605" s="47"/>
    </row>
    <row r="606" spans="1:1" s="48" customFormat="1" ht="16.5" x14ac:dyDescent="0.3">
      <c r="A606" s="47"/>
    </row>
    <row r="607" spans="1:1" s="48" customFormat="1" ht="16.5" x14ac:dyDescent="0.3">
      <c r="A607" s="47"/>
    </row>
    <row r="608" spans="1:1" s="48" customFormat="1" ht="16.5" x14ac:dyDescent="0.3">
      <c r="A608" s="47"/>
    </row>
    <row r="609" spans="1:1" s="48" customFormat="1" ht="16.5" x14ac:dyDescent="0.3">
      <c r="A609" s="47"/>
    </row>
    <row r="610" spans="1:1" s="48" customFormat="1" ht="16.5" x14ac:dyDescent="0.3">
      <c r="A610" s="47"/>
    </row>
    <row r="611" spans="1:1" s="48" customFormat="1" ht="16.5" x14ac:dyDescent="0.3">
      <c r="A611" s="47"/>
    </row>
    <row r="612" spans="1:1" s="48" customFormat="1" ht="16.5" x14ac:dyDescent="0.3">
      <c r="A612" s="47"/>
    </row>
    <row r="613" spans="1:1" s="48" customFormat="1" ht="16.5" x14ac:dyDescent="0.3">
      <c r="A613" s="47"/>
    </row>
    <row r="614" spans="1:1" s="48" customFormat="1" ht="16.5" x14ac:dyDescent="0.3">
      <c r="A614" s="47"/>
    </row>
    <row r="615" spans="1:1" s="48" customFormat="1" ht="16.5" x14ac:dyDescent="0.3">
      <c r="A615" s="47"/>
    </row>
    <row r="616" spans="1:1" s="48" customFormat="1" ht="16.5" x14ac:dyDescent="0.3">
      <c r="A616" s="47"/>
    </row>
    <row r="617" spans="1:1" s="48" customFormat="1" ht="16.5" x14ac:dyDescent="0.3">
      <c r="A617" s="47"/>
    </row>
    <row r="618" spans="1:1" s="48" customFormat="1" ht="16.5" x14ac:dyDescent="0.3">
      <c r="A618" s="47"/>
    </row>
    <row r="619" spans="1:1" s="48" customFormat="1" ht="16.5" x14ac:dyDescent="0.3">
      <c r="A619" s="47"/>
    </row>
    <row r="620" spans="1:1" s="48" customFormat="1" ht="16.5" x14ac:dyDescent="0.3">
      <c r="A620" s="47"/>
    </row>
    <row r="621" spans="1:1" s="48" customFormat="1" ht="16.5" x14ac:dyDescent="0.3">
      <c r="A621" s="47"/>
    </row>
    <row r="622" spans="1:1" s="48" customFormat="1" ht="16.5" x14ac:dyDescent="0.3">
      <c r="A622" s="47"/>
    </row>
    <row r="623" spans="1:1" s="48" customFormat="1" ht="16.5" x14ac:dyDescent="0.3">
      <c r="A623" s="47"/>
    </row>
    <row r="624" spans="1:1" s="48" customFormat="1" ht="16.5" x14ac:dyDescent="0.3">
      <c r="A624" s="47"/>
    </row>
    <row r="625" spans="1:1" s="48" customFormat="1" ht="16.5" x14ac:dyDescent="0.3">
      <c r="A625" s="47"/>
    </row>
    <row r="626" spans="1:1" s="48" customFormat="1" ht="16.5" x14ac:dyDescent="0.3">
      <c r="A626" s="47"/>
    </row>
    <row r="627" spans="1:1" s="48" customFormat="1" ht="16.5" x14ac:dyDescent="0.3">
      <c r="A627" s="47"/>
    </row>
    <row r="628" spans="1:1" s="48" customFormat="1" ht="16.5" x14ac:dyDescent="0.3">
      <c r="A628" s="47"/>
    </row>
    <row r="629" spans="1:1" s="48" customFormat="1" ht="16.5" x14ac:dyDescent="0.3">
      <c r="A629" s="47"/>
    </row>
    <row r="630" spans="1:1" s="48" customFormat="1" ht="16.5" x14ac:dyDescent="0.3">
      <c r="A630" s="47"/>
    </row>
    <row r="631" spans="1:1" s="48" customFormat="1" ht="16.5" x14ac:dyDescent="0.3">
      <c r="A631" s="47"/>
    </row>
    <row r="632" spans="1:1" s="48" customFormat="1" ht="16.5" x14ac:dyDescent="0.3">
      <c r="A632" s="47"/>
    </row>
    <row r="633" spans="1:1" s="48" customFormat="1" ht="16.5" x14ac:dyDescent="0.3">
      <c r="A633" s="47"/>
    </row>
    <row r="634" spans="1:1" s="48" customFormat="1" ht="16.5" x14ac:dyDescent="0.3">
      <c r="A634" s="47"/>
    </row>
    <row r="635" spans="1:1" s="48" customFormat="1" ht="16.5" x14ac:dyDescent="0.3">
      <c r="A635" s="47"/>
    </row>
    <row r="636" spans="1:1" s="48" customFormat="1" ht="16.5" x14ac:dyDescent="0.3">
      <c r="A636" s="47"/>
    </row>
    <row r="637" spans="1:1" s="48" customFormat="1" ht="16.5" x14ac:dyDescent="0.3">
      <c r="A637" s="47"/>
    </row>
    <row r="638" spans="1:1" s="48" customFormat="1" ht="16.5" x14ac:dyDescent="0.3">
      <c r="A638" s="47"/>
    </row>
    <row r="639" spans="1:1" s="48" customFormat="1" ht="16.5" x14ac:dyDescent="0.3">
      <c r="A639" s="47"/>
    </row>
    <row r="640" spans="1:1" s="48" customFormat="1" ht="16.5" x14ac:dyDescent="0.3">
      <c r="A640" s="47"/>
    </row>
    <row r="641" spans="1:1" s="48" customFormat="1" ht="16.5" x14ac:dyDescent="0.3">
      <c r="A641" s="47"/>
    </row>
    <row r="642" spans="1:1" s="48" customFormat="1" ht="16.5" x14ac:dyDescent="0.3">
      <c r="A642" s="47"/>
    </row>
    <row r="643" spans="1:1" s="48" customFormat="1" ht="16.5" x14ac:dyDescent="0.3">
      <c r="A643" s="47"/>
    </row>
    <row r="644" spans="1:1" s="48" customFormat="1" ht="16.5" x14ac:dyDescent="0.3">
      <c r="A644" s="47"/>
    </row>
    <row r="645" spans="1:1" s="48" customFormat="1" ht="16.5" x14ac:dyDescent="0.3">
      <c r="A645" s="47"/>
    </row>
    <row r="646" spans="1:1" s="48" customFormat="1" ht="16.5" x14ac:dyDescent="0.3">
      <c r="A646" s="47"/>
    </row>
    <row r="647" spans="1:1" s="48" customFormat="1" ht="16.5" x14ac:dyDescent="0.3">
      <c r="A647" s="47"/>
    </row>
    <row r="648" spans="1:1" s="48" customFormat="1" ht="16.5" x14ac:dyDescent="0.3">
      <c r="A648" s="47"/>
    </row>
    <row r="649" spans="1:1" s="48" customFormat="1" ht="16.5" x14ac:dyDescent="0.3">
      <c r="A649" s="47"/>
    </row>
    <row r="650" spans="1:1" s="48" customFormat="1" ht="16.5" x14ac:dyDescent="0.3">
      <c r="A650" s="47"/>
    </row>
    <row r="651" spans="1:1" s="48" customFormat="1" ht="16.5" x14ac:dyDescent="0.3">
      <c r="A651" s="47"/>
    </row>
    <row r="652" spans="1:1" s="48" customFormat="1" ht="16.5" x14ac:dyDescent="0.3">
      <c r="A652" s="47"/>
    </row>
    <row r="653" spans="1:1" s="48" customFormat="1" ht="16.5" x14ac:dyDescent="0.3">
      <c r="A653" s="47"/>
    </row>
    <row r="654" spans="1:1" s="48" customFormat="1" ht="16.5" x14ac:dyDescent="0.3">
      <c r="A654" s="47"/>
    </row>
    <row r="655" spans="1:1" s="48" customFormat="1" ht="16.5" x14ac:dyDescent="0.3">
      <c r="A655" s="47"/>
    </row>
    <row r="656" spans="1:1" s="48" customFormat="1" ht="16.5" x14ac:dyDescent="0.3">
      <c r="A656" s="47"/>
    </row>
    <row r="657" spans="1:1" s="48" customFormat="1" ht="16.5" x14ac:dyDescent="0.3">
      <c r="A657" s="47"/>
    </row>
    <row r="658" spans="1:1" s="48" customFormat="1" ht="16.5" x14ac:dyDescent="0.3">
      <c r="A658" s="47"/>
    </row>
    <row r="659" spans="1:1" s="48" customFormat="1" ht="16.5" x14ac:dyDescent="0.3">
      <c r="A659" s="47"/>
    </row>
    <row r="660" spans="1:1" s="48" customFormat="1" ht="16.5" x14ac:dyDescent="0.3">
      <c r="A660" s="47"/>
    </row>
    <row r="661" spans="1:1" s="48" customFormat="1" ht="16.5" x14ac:dyDescent="0.3">
      <c r="A661" s="47"/>
    </row>
    <row r="662" spans="1:1" s="48" customFormat="1" ht="16.5" x14ac:dyDescent="0.3">
      <c r="A662" s="47"/>
    </row>
    <row r="663" spans="1:1" s="48" customFormat="1" ht="16.5" x14ac:dyDescent="0.3">
      <c r="A663" s="47"/>
    </row>
    <row r="664" spans="1:1" s="48" customFormat="1" ht="16.5" x14ac:dyDescent="0.3">
      <c r="A664" s="47"/>
    </row>
    <row r="665" spans="1:1" s="48" customFormat="1" ht="16.5" x14ac:dyDescent="0.3">
      <c r="A665" s="47"/>
    </row>
    <row r="666" spans="1:1" s="48" customFormat="1" ht="16.5" x14ac:dyDescent="0.3">
      <c r="A666" s="47"/>
    </row>
    <row r="667" spans="1:1" s="48" customFormat="1" ht="16.5" x14ac:dyDescent="0.3">
      <c r="A667" s="47"/>
    </row>
    <row r="668" spans="1:1" s="48" customFormat="1" ht="16.5" x14ac:dyDescent="0.3">
      <c r="A668" s="47"/>
    </row>
    <row r="669" spans="1:1" s="48" customFormat="1" ht="16.5" x14ac:dyDescent="0.3">
      <c r="A669" s="47"/>
    </row>
    <row r="670" spans="1:1" s="48" customFormat="1" ht="16.5" x14ac:dyDescent="0.3">
      <c r="A670" s="47"/>
    </row>
    <row r="671" spans="1:1" s="48" customFormat="1" ht="16.5" x14ac:dyDescent="0.3">
      <c r="A671" s="47"/>
    </row>
    <row r="672" spans="1:1" s="48" customFormat="1" ht="16.5" x14ac:dyDescent="0.3">
      <c r="A672" s="47"/>
    </row>
    <row r="673" spans="1:1" s="48" customFormat="1" ht="16.5" x14ac:dyDescent="0.3">
      <c r="A673" s="47"/>
    </row>
    <row r="674" spans="1:1" s="48" customFormat="1" ht="16.5" x14ac:dyDescent="0.3">
      <c r="A674" s="47"/>
    </row>
    <row r="675" spans="1:1" s="48" customFormat="1" ht="16.5" x14ac:dyDescent="0.3">
      <c r="A675" s="47"/>
    </row>
    <row r="676" spans="1:1" s="48" customFormat="1" ht="16.5" x14ac:dyDescent="0.3">
      <c r="A676" s="47"/>
    </row>
    <row r="677" spans="1:1" s="48" customFormat="1" ht="16.5" x14ac:dyDescent="0.3">
      <c r="A677" s="47"/>
    </row>
    <row r="678" spans="1:1" s="48" customFormat="1" ht="16.5" x14ac:dyDescent="0.3">
      <c r="A678" s="47"/>
    </row>
    <row r="679" spans="1:1" s="48" customFormat="1" ht="16.5" x14ac:dyDescent="0.3">
      <c r="A679" s="47"/>
    </row>
    <row r="680" spans="1:1" s="48" customFormat="1" ht="16.5" x14ac:dyDescent="0.3">
      <c r="A680" s="47"/>
    </row>
    <row r="681" spans="1:1" s="48" customFormat="1" ht="16.5" x14ac:dyDescent="0.3">
      <c r="A681" s="47"/>
    </row>
    <row r="682" spans="1:1" s="48" customFormat="1" ht="16.5" x14ac:dyDescent="0.3">
      <c r="A682" s="47"/>
    </row>
    <row r="683" spans="1:1" s="48" customFormat="1" ht="16.5" x14ac:dyDescent="0.3">
      <c r="A683" s="47"/>
    </row>
    <row r="684" spans="1:1" s="48" customFormat="1" ht="16.5" x14ac:dyDescent="0.3">
      <c r="A684" s="47"/>
    </row>
    <row r="685" spans="1:1" s="48" customFormat="1" ht="16.5" x14ac:dyDescent="0.3">
      <c r="A685" s="47"/>
    </row>
    <row r="686" spans="1:1" s="48" customFormat="1" ht="16.5" x14ac:dyDescent="0.3">
      <c r="A686" s="47"/>
    </row>
    <row r="687" spans="1:1" s="48" customFormat="1" ht="16.5" x14ac:dyDescent="0.3">
      <c r="A687" s="47"/>
    </row>
    <row r="688" spans="1:1" s="48" customFormat="1" ht="16.5" x14ac:dyDescent="0.3">
      <c r="A688" s="47"/>
    </row>
    <row r="689" spans="1:1" s="48" customFormat="1" ht="16.5" x14ac:dyDescent="0.3">
      <c r="A689" s="47"/>
    </row>
    <row r="690" spans="1:1" s="48" customFormat="1" ht="16.5" x14ac:dyDescent="0.3">
      <c r="A690" s="47"/>
    </row>
    <row r="691" spans="1:1" s="48" customFormat="1" ht="16.5" x14ac:dyDescent="0.3">
      <c r="A691" s="47"/>
    </row>
    <row r="692" spans="1:1" s="48" customFormat="1" ht="16.5" x14ac:dyDescent="0.3">
      <c r="A692" s="47"/>
    </row>
    <row r="693" spans="1:1" s="48" customFormat="1" ht="16.5" x14ac:dyDescent="0.3">
      <c r="A693" s="47"/>
    </row>
    <row r="694" spans="1:1" s="48" customFormat="1" ht="16.5" x14ac:dyDescent="0.3">
      <c r="A694" s="47"/>
    </row>
    <row r="695" spans="1:1" s="48" customFormat="1" ht="16.5" x14ac:dyDescent="0.3">
      <c r="A695" s="47"/>
    </row>
    <row r="696" spans="1:1" s="48" customFormat="1" ht="16.5" x14ac:dyDescent="0.3">
      <c r="A696" s="47"/>
    </row>
    <row r="697" spans="1:1" s="48" customFormat="1" ht="16.5" x14ac:dyDescent="0.3">
      <c r="A697" s="47"/>
    </row>
    <row r="698" spans="1:1" s="48" customFormat="1" ht="16.5" x14ac:dyDescent="0.3">
      <c r="A698" s="47"/>
    </row>
    <row r="699" spans="1:1" s="48" customFormat="1" ht="16.5" x14ac:dyDescent="0.3">
      <c r="A699" s="47"/>
    </row>
    <row r="700" spans="1:1" s="48" customFormat="1" ht="16.5" x14ac:dyDescent="0.3">
      <c r="A700" s="47"/>
    </row>
    <row r="701" spans="1:1" s="48" customFormat="1" ht="16.5" x14ac:dyDescent="0.3">
      <c r="A701" s="47"/>
    </row>
    <row r="702" spans="1:1" s="48" customFormat="1" ht="16.5" x14ac:dyDescent="0.3">
      <c r="A702" s="47"/>
    </row>
    <row r="703" spans="1:1" s="48" customFormat="1" ht="16.5" x14ac:dyDescent="0.3">
      <c r="A703" s="47"/>
    </row>
    <row r="704" spans="1:1" s="48" customFormat="1" ht="16.5" x14ac:dyDescent="0.3">
      <c r="A704" s="47"/>
    </row>
    <row r="705" spans="1:1" s="48" customFormat="1" ht="16.5" x14ac:dyDescent="0.3">
      <c r="A705" s="47"/>
    </row>
    <row r="706" spans="1:1" s="48" customFormat="1" ht="16.5" x14ac:dyDescent="0.3">
      <c r="A706" s="47"/>
    </row>
    <row r="707" spans="1:1" s="48" customFormat="1" ht="16.5" x14ac:dyDescent="0.3">
      <c r="A707" s="47"/>
    </row>
    <row r="708" spans="1:1" s="48" customFormat="1" ht="16.5" x14ac:dyDescent="0.3">
      <c r="A708" s="47"/>
    </row>
    <row r="709" spans="1:1" s="48" customFormat="1" ht="16.5" x14ac:dyDescent="0.3">
      <c r="A709" s="47"/>
    </row>
    <row r="710" spans="1:1" s="48" customFormat="1" ht="16.5" x14ac:dyDescent="0.3">
      <c r="A710" s="47"/>
    </row>
    <row r="711" spans="1:1" s="48" customFormat="1" ht="16.5" x14ac:dyDescent="0.3">
      <c r="A711" s="47"/>
    </row>
    <row r="712" spans="1:1" s="48" customFormat="1" ht="16.5" x14ac:dyDescent="0.3">
      <c r="A712" s="47"/>
    </row>
    <row r="713" spans="1:1" s="48" customFormat="1" ht="16.5" x14ac:dyDescent="0.3">
      <c r="A713" s="47"/>
    </row>
    <row r="714" spans="1:1" s="48" customFormat="1" ht="16.5" x14ac:dyDescent="0.3">
      <c r="A714" s="47"/>
    </row>
    <row r="715" spans="1:1" s="48" customFormat="1" ht="16.5" x14ac:dyDescent="0.3">
      <c r="A715" s="47"/>
    </row>
    <row r="716" spans="1:1" s="48" customFormat="1" ht="16.5" x14ac:dyDescent="0.3">
      <c r="A716" s="47"/>
    </row>
    <row r="717" spans="1:1" s="48" customFormat="1" ht="16.5" x14ac:dyDescent="0.3">
      <c r="A717" s="47"/>
    </row>
    <row r="718" spans="1:1" s="48" customFormat="1" ht="16.5" x14ac:dyDescent="0.3">
      <c r="A718" s="47"/>
    </row>
    <row r="719" spans="1:1" s="48" customFormat="1" ht="16.5" x14ac:dyDescent="0.3">
      <c r="A719" s="47"/>
    </row>
    <row r="720" spans="1:1" s="48" customFormat="1" ht="16.5" x14ac:dyDescent="0.3">
      <c r="A720" s="47"/>
    </row>
    <row r="721" spans="1:1" s="48" customFormat="1" ht="16.5" x14ac:dyDescent="0.3">
      <c r="A721" s="47"/>
    </row>
    <row r="722" spans="1:1" s="48" customFormat="1" ht="16.5" x14ac:dyDescent="0.3">
      <c r="A722" s="47"/>
    </row>
    <row r="723" spans="1:1" s="48" customFormat="1" ht="16.5" x14ac:dyDescent="0.3">
      <c r="A723" s="47"/>
    </row>
    <row r="724" spans="1:1" s="48" customFormat="1" ht="16.5" x14ac:dyDescent="0.3">
      <c r="A724" s="47"/>
    </row>
    <row r="725" spans="1:1" s="48" customFormat="1" ht="16.5" x14ac:dyDescent="0.3">
      <c r="A725" s="47"/>
    </row>
    <row r="726" spans="1:1" s="48" customFormat="1" ht="16.5" x14ac:dyDescent="0.3">
      <c r="A726" s="47"/>
    </row>
    <row r="727" spans="1:1" s="48" customFormat="1" ht="16.5" x14ac:dyDescent="0.3">
      <c r="A727" s="47"/>
    </row>
    <row r="728" spans="1:1" s="48" customFormat="1" ht="16.5" x14ac:dyDescent="0.3">
      <c r="A728" s="47"/>
    </row>
    <row r="729" spans="1:1" s="48" customFormat="1" ht="16.5" x14ac:dyDescent="0.3">
      <c r="A729" s="47"/>
    </row>
    <row r="730" spans="1:1" s="48" customFormat="1" ht="16.5" x14ac:dyDescent="0.3">
      <c r="A730" s="47"/>
    </row>
    <row r="731" spans="1:1" s="48" customFormat="1" ht="16.5" x14ac:dyDescent="0.3">
      <c r="A731" s="47"/>
    </row>
    <row r="732" spans="1:1" s="48" customFormat="1" ht="16.5" x14ac:dyDescent="0.3">
      <c r="A732" s="47"/>
    </row>
    <row r="733" spans="1:1" s="48" customFormat="1" ht="16.5" x14ac:dyDescent="0.3">
      <c r="A733" s="47"/>
    </row>
    <row r="734" spans="1:1" s="48" customFormat="1" ht="16.5" x14ac:dyDescent="0.3">
      <c r="A734" s="47"/>
    </row>
    <row r="735" spans="1:1" s="48" customFormat="1" ht="16.5" x14ac:dyDescent="0.3">
      <c r="A735" s="47"/>
    </row>
    <row r="736" spans="1:1" s="48" customFormat="1" ht="16.5" x14ac:dyDescent="0.3">
      <c r="A736" s="47"/>
    </row>
    <row r="737" spans="1:1" s="48" customFormat="1" ht="16.5" x14ac:dyDescent="0.3">
      <c r="A737" s="47"/>
    </row>
    <row r="738" spans="1:1" s="48" customFormat="1" ht="16.5" x14ac:dyDescent="0.3">
      <c r="A738" s="47"/>
    </row>
    <row r="739" spans="1:1" s="48" customFormat="1" ht="16.5" x14ac:dyDescent="0.3">
      <c r="A739" s="47"/>
    </row>
    <row r="740" spans="1:1" s="48" customFormat="1" ht="16.5" x14ac:dyDescent="0.3">
      <c r="A740" s="47"/>
    </row>
    <row r="741" spans="1:1" s="48" customFormat="1" ht="16.5" x14ac:dyDescent="0.3">
      <c r="A741" s="47"/>
    </row>
    <row r="742" spans="1:1" s="48" customFormat="1" ht="16.5" x14ac:dyDescent="0.3">
      <c r="A742" s="47"/>
    </row>
    <row r="743" spans="1:1" s="48" customFormat="1" ht="16.5" x14ac:dyDescent="0.3">
      <c r="A743" s="47"/>
    </row>
    <row r="744" spans="1:1" s="48" customFormat="1" ht="16.5" x14ac:dyDescent="0.3">
      <c r="A744" s="47"/>
    </row>
    <row r="745" spans="1:1" s="48" customFormat="1" ht="16.5" x14ac:dyDescent="0.3">
      <c r="A745" s="47"/>
    </row>
    <row r="746" spans="1:1" s="48" customFormat="1" ht="16.5" x14ac:dyDescent="0.3">
      <c r="A746" s="47"/>
    </row>
    <row r="747" spans="1:1" s="48" customFormat="1" ht="16.5" x14ac:dyDescent="0.3">
      <c r="A747" s="47"/>
    </row>
    <row r="748" spans="1:1" s="48" customFormat="1" ht="16.5" x14ac:dyDescent="0.3">
      <c r="A748" s="47"/>
    </row>
    <row r="749" spans="1:1" s="48" customFormat="1" ht="16.5" x14ac:dyDescent="0.3">
      <c r="A749" s="47"/>
    </row>
    <row r="750" spans="1:1" s="48" customFormat="1" ht="16.5" x14ac:dyDescent="0.3">
      <c r="A750" s="47"/>
    </row>
    <row r="751" spans="1:1" s="48" customFormat="1" ht="16.5" x14ac:dyDescent="0.3">
      <c r="A751" s="47"/>
    </row>
    <row r="752" spans="1:1" s="48" customFormat="1" ht="16.5" x14ac:dyDescent="0.3">
      <c r="A752" s="47"/>
    </row>
    <row r="753" spans="1:1" s="48" customFormat="1" ht="16.5" x14ac:dyDescent="0.3">
      <c r="A753" s="47"/>
    </row>
    <row r="754" spans="1:1" s="48" customFormat="1" ht="16.5" x14ac:dyDescent="0.3">
      <c r="A754" s="47"/>
    </row>
    <row r="755" spans="1:1" s="48" customFormat="1" ht="16.5" x14ac:dyDescent="0.3">
      <c r="A755" s="47"/>
    </row>
    <row r="756" spans="1:1" s="48" customFormat="1" ht="16.5" x14ac:dyDescent="0.3">
      <c r="A756" s="47"/>
    </row>
    <row r="757" spans="1:1" s="48" customFormat="1" ht="16.5" x14ac:dyDescent="0.3">
      <c r="A757" s="47"/>
    </row>
    <row r="758" spans="1:1" s="48" customFormat="1" ht="16.5" x14ac:dyDescent="0.3">
      <c r="A758" s="47"/>
    </row>
    <row r="759" spans="1:1" s="48" customFormat="1" ht="16.5" x14ac:dyDescent="0.3">
      <c r="A759" s="47"/>
    </row>
    <row r="760" spans="1:1" s="48" customFormat="1" ht="16.5" x14ac:dyDescent="0.3">
      <c r="A760" s="47"/>
    </row>
    <row r="761" spans="1:1" s="48" customFormat="1" ht="16.5" x14ac:dyDescent="0.3">
      <c r="A761" s="47"/>
    </row>
    <row r="762" spans="1:1" s="48" customFormat="1" ht="16.5" x14ac:dyDescent="0.3">
      <c r="A762" s="47"/>
    </row>
    <row r="763" spans="1:1" s="48" customFormat="1" ht="16.5" x14ac:dyDescent="0.3">
      <c r="A763" s="47"/>
    </row>
    <row r="764" spans="1:1" s="48" customFormat="1" ht="16.5" x14ac:dyDescent="0.3">
      <c r="A764" s="47"/>
    </row>
    <row r="765" spans="1:1" s="48" customFormat="1" ht="16.5" x14ac:dyDescent="0.3">
      <c r="A765" s="47"/>
    </row>
    <row r="766" spans="1:1" s="48" customFormat="1" ht="16.5" x14ac:dyDescent="0.3">
      <c r="A766" s="47"/>
    </row>
    <row r="767" spans="1:1" s="48" customFormat="1" ht="16.5" x14ac:dyDescent="0.3">
      <c r="A767" s="47"/>
    </row>
    <row r="768" spans="1:1" s="48" customFormat="1" ht="16.5" x14ac:dyDescent="0.3">
      <c r="A768" s="47"/>
    </row>
    <row r="769" spans="1:1" s="48" customFormat="1" ht="16.5" x14ac:dyDescent="0.3">
      <c r="A769" s="47"/>
    </row>
    <row r="770" spans="1:1" s="48" customFormat="1" ht="16.5" x14ac:dyDescent="0.3">
      <c r="A770" s="47"/>
    </row>
    <row r="771" spans="1:1" s="48" customFormat="1" ht="16.5" x14ac:dyDescent="0.3">
      <c r="A771" s="47"/>
    </row>
    <row r="772" spans="1:1" s="48" customFormat="1" ht="16.5" x14ac:dyDescent="0.3">
      <c r="A772" s="47"/>
    </row>
    <row r="773" spans="1:1" s="48" customFormat="1" ht="16.5" x14ac:dyDescent="0.3">
      <c r="A773" s="47"/>
    </row>
    <row r="774" spans="1:1" s="48" customFormat="1" ht="16.5" x14ac:dyDescent="0.3">
      <c r="A774" s="47"/>
    </row>
    <row r="775" spans="1:1" s="48" customFormat="1" ht="16.5" x14ac:dyDescent="0.3">
      <c r="A775" s="47"/>
    </row>
    <row r="776" spans="1:1" s="48" customFormat="1" ht="16.5" x14ac:dyDescent="0.3">
      <c r="A776" s="47"/>
    </row>
    <row r="777" spans="1:1" s="48" customFormat="1" ht="16.5" x14ac:dyDescent="0.3">
      <c r="A777" s="47"/>
    </row>
    <row r="778" spans="1:1" s="48" customFormat="1" ht="16.5" x14ac:dyDescent="0.3">
      <c r="A778" s="47"/>
    </row>
    <row r="779" spans="1:1" s="48" customFormat="1" ht="16.5" x14ac:dyDescent="0.3">
      <c r="A779" s="47"/>
    </row>
    <row r="780" spans="1:1" s="48" customFormat="1" ht="16.5" x14ac:dyDescent="0.3">
      <c r="A780" s="47"/>
    </row>
    <row r="781" spans="1:1" s="48" customFormat="1" ht="16.5" x14ac:dyDescent="0.3">
      <c r="A781" s="47"/>
    </row>
    <row r="782" spans="1:1" s="48" customFormat="1" ht="16.5" x14ac:dyDescent="0.3">
      <c r="A782" s="47"/>
    </row>
    <row r="783" spans="1:1" s="48" customFormat="1" ht="16.5" x14ac:dyDescent="0.3">
      <c r="A783" s="47"/>
    </row>
    <row r="784" spans="1:1" s="48" customFormat="1" ht="16.5" x14ac:dyDescent="0.3">
      <c r="A784" s="47"/>
    </row>
    <row r="785" spans="1:1" s="48" customFormat="1" ht="16.5" x14ac:dyDescent="0.3">
      <c r="A785" s="47"/>
    </row>
    <row r="786" spans="1:1" s="48" customFormat="1" ht="16.5" x14ac:dyDescent="0.3">
      <c r="A786" s="47"/>
    </row>
    <row r="787" spans="1:1" s="48" customFormat="1" ht="16.5" x14ac:dyDescent="0.3">
      <c r="A787" s="47"/>
    </row>
    <row r="788" spans="1:1" s="48" customFormat="1" ht="16.5" x14ac:dyDescent="0.3">
      <c r="A788" s="47"/>
    </row>
    <row r="789" spans="1:1" s="48" customFormat="1" ht="16.5" x14ac:dyDescent="0.3">
      <c r="A789" s="47"/>
    </row>
    <row r="790" spans="1:1" s="48" customFormat="1" ht="16.5" x14ac:dyDescent="0.3">
      <c r="A790" s="47"/>
    </row>
    <row r="791" spans="1:1" s="48" customFormat="1" ht="16.5" x14ac:dyDescent="0.3">
      <c r="A791" s="47"/>
    </row>
    <row r="792" spans="1:1" s="48" customFormat="1" ht="16.5" x14ac:dyDescent="0.3">
      <c r="A792" s="47"/>
    </row>
    <row r="793" spans="1:1" s="48" customFormat="1" ht="16.5" x14ac:dyDescent="0.3">
      <c r="A793" s="47"/>
    </row>
    <row r="794" spans="1:1" s="48" customFormat="1" ht="16.5" x14ac:dyDescent="0.3">
      <c r="A794" s="47"/>
    </row>
    <row r="795" spans="1:1" s="48" customFormat="1" ht="16.5" x14ac:dyDescent="0.3">
      <c r="A795" s="47"/>
    </row>
    <row r="796" spans="1:1" s="48" customFormat="1" ht="16.5" x14ac:dyDescent="0.3">
      <c r="A796" s="47"/>
    </row>
    <row r="797" spans="1:1" s="48" customFormat="1" ht="16.5" x14ac:dyDescent="0.3">
      <c r="A797" s="47"/>
    </row>
    <row r="798" spans="1:1" s="48" customFormat="1" ht="16.5" x14ac:dyDescent="0.3">
      <c r="A798" s="47"/>
    </row>
    <row r="799" spans="1:1" s="48" customFormat="1" ht="16.5" x14ac:dyDescent="0.3">
      <c r="A799" s="47"/>
    </row>
    <row r="800" spans="1:1" s="48" customFormat="1" ht="16.5" x14ac:dyDescent="0.3">
      <c r="A800" s="47"/>
    </row>
    <row r="801" spans="1:1" s="48" customFormat="1" ht="16.5" x14ac:dyDescent="0.3">
      <c r="A801" s="47"/>
    </row>
    <row r="802" spans="1:1" s="48" customFormat="1" ht="16.5" x14ac:dyDescent="0.3">
      <c r="A802" s="47"/>
    </row>
    <row r="803" spans="1:1" s="48" customFormat="1" ht="16.5" x14ac:dyDescent="0.3">
      <c r="A803" s="47"/>
    </row>
    <row r="804" spans="1:1" s="48" customFormat="1" ht="16.5" x14ac:dyDescent="0.3">
      <c r="A804" s="47"/>
    </row>
    <row r="805" spans="1:1" s="48" customFormat="1" ht="16.5" x14ac:dyDescent="0.3">
      <c r="A805" s="47"/>
    </row>
    <row r="806" spans="1:1" s="48" customFormat="1" ht="16.5" x14ac:dyDescent="0.3">
      <c r="A806" s="47"/>
    </row>
    <row r="807" spans="1:1" s="48" customFormat="1" ht="16.5" x14ac:dyDescent="0.3">
      <c r="A807" s="47"/>
    </row>
    <row r="808" spans="1:1" s="48" customFormat="1" ht="16.5" x14ac:dyDescent="0.3">
      <c r="A808" s="47"/>
    </row>
    <row r="809" spans="1:1" s="48" customFormat="1" ht="16.5" x14ac:dyDescent="0.3">
      <c r="A809" s="47"/>
    </row>
    <row r="810" spans="1:1" s="48" customFormat="1" ht="16.5" x14ac:dyDescent="0.3">
      <c r="A810" s="47"/>
    </row>
    <row r="811" spans="1:1" s="48" customFormat="1" ht="16.5" x14ac:dyDescent="0.3">
      <c r="A811" s="47"/>
    </row>
    <row r="812" spans="1:1" s="48" customFormat="1" ht="16.5" x14ac:dyDescent="0.3">
      <c r="A812" s="47"/>
    </row>
    <row r="813" spans="1:1" s="48" customFormat="1" ht="16.5" x14ac:dyDescent="0.3">
      <c r="A813" s="47"/>
    </row>
    <row r="814" spans="1:1" s="48" customFormat="1" ht="16.5" x14ac:dyDescent="0.3">
      <c r="A814" s="47"/>
    </row>
    <row r="815" spans="1:1" s="48" customFormat="1" ht="16.5" x14ac:dyDescent="0.3">
      <c r="A815" s="47"/>
    </row>
    <row r="816" spans="1:1" s="48" customFormat="1" ht="16.5" x14ac:dyDescent="0.3">
      <c r="A816" s="47"/>
    </row>
    <row r="817" spans="1:1" s="48" customFormat="1" ht="16.5" x14ac:dyDescent="0.3">
      <c r="A817" s="47"/>
    </row>
    <row r="818" spans="1:1" s="48" customFormat="1" ht="16.5" x14ac:dyDescent="0.3">
      <c r="A818" s="47"/>
    </row>
    <row r="819" spans="1:1" s="48" customFormat="1" ht="16.5" x14ac:dyDescent="0.3">
      <c r="A819" s="47"/>
    </row>
    <row r="820" spans="1:1" s="48" customFormat="1" ht="16.5" x14ac:dyDescent="0.3">
      <c r="A820" s="47"/>
    </row>
    <row r="821" spans="1:1" s="48" customFormat="1" ht="16.5" x14ac:dyDescent="0.3">
      <c r="A821" s="47"/>
    </row>
    <row r="822" spans="1:1" s="48" customFormat="1" ht="16.5" x14ac:dyDescent="0.3">
      <c r="A822" s="47"/>
    </row>
    <row r="823" spans="1:1" s="48" customFormat="1" ht="16.5" x14ac:dyDescent="0.3">
      <c r="A823" s="47"/>
    </row>
    <row r="824" spans="1:1" s="48" customFormat="1" ht="16.5" x14ac:dyDescent="0.3">
      <c r="A824" s="47"/>
    </row>
    <row r="825" spans="1:1" s="48" customFormat="1" ht="16.5" x14ac:dyDescent="0.3">
      <c r="A825" s="47"/>
    </row>
    <row r="826" spans="1:1" s="48" customFormat="1" ht="16.5" x14ac:dyDescent="0.3">
      <c r="A826" s="47"/>
    </row>
    <row r="827" spans="1:1" s="48" customFormat="1" ht="16.5" x14ac:dyDescent="0.3">
      <c r="A827" s="47"/>
    </row>
    <row r="828" spans="1:1" s="48" customFormat="1" ht="16.5" x14ac:dyDescent="0.3">
      <c r="A828" s="47"/>
    </row>
    <row r="829" spans="1:1" s="48" customFormat="1" ht="16.5" x14ac:dyDescent="0.3">
      <c r="A829" s="47"/>
    </row>
    <row r="830" spans="1:1" s="48" customFormat="1" ht="16.5" x14ac:dyDescent="0.3">
      <c r="A830" s="47"/>
    </row>
    <row r="831" spans="1:1" s="48" customFormat="1" ht="16.5" x14ac:dyDescent="0.3">
      <c r="A831" s="47"/>
    </row>
    <row r="832" spans="1:1" s="48" customFormat="1" ht="16.5" x14ac:dyDescent="0.3">
      <c r="A832" s="47"/>
    </row>
    <row r="833" spans="1:1" s="48" customFormat="1" ht="16.5" x14ac:dyDescent="0.3">
      <c r="A833" s="47"/>
    </row>
    <row r="834" spans="1:1" s="48" customFormat="1" ht="16.5" x14ac:dyDescent="0.3">
      <c r="A834" s="47"/>
    </row>
    <row r="835" spans="1:1" s="48" customFormat="1" ht="16.5" x14ac:dyDescent="0.3">
      <c r="A835" s="47"/>
    </row>
    <row r="836" spans="1:1" s="48" customFormat="1" ht="16.5" x14ac:dyDescent="0.3">
      <c r="A836" s="47"/>
    </row>
    <row r="837" spans="1:1" s="48" customFormat="1" ht="16.5" x14ac:dyDescent="0.3">
      <c r="A837" s="47"/>
    </row>
    <row r="838" spans="1:1" s="48" customFormat="1" ht="16.5" x14ac:dyDescent="0.3">
      <c r="A838" s="47"/>
    </row>
    <row r="839" spans="1:1" s="48" customFormat="1" ht="16.5" x14ac:dyDescent="0.3">
      <c r="A839" s="47"/>
    </row>
    <row r="840" spans="1:1" s="48" customFormat="1" ht="16.5" x14ac:dyDescent="0.3">
      <c r="A840" s="47"/>
    </row>
    <row r="841" spans="1:1" s="48" customFormat="1" ht="16.5" x14ac:dyDescent="0.3">
      <c r="A841" s="47"/>
    </row>
    <row r="842" spans="1:1" s="48" customFormat="1" ht="16.5" x14ac:dyDescent="0.3">
      <c r="A842" s="47"/>
    </row>
    <row r="843" spans="1:1" s="48" customFormat="1" ht="16.5" x14ac:dyDescent="0.3">
      <c r="A843" s="47"/>
    </row>
    <row r="844" spans="1:1" s="48" customFormat="1" ht="16.5" x14ac:dyDescent="0.3">
      <c r="A844" s="47"/>
    </row>
    <row r="845" spans="1:1" s="48" customFormat="1" ht="16.5" x14ac:dyDescent="0.3">
      <c r="A845" s="47"/>
    </row>
    <row r="846" spans="1:1" s="48" customFormat="1" ht="16.5" x14ac:dyDescent="0.3">
      <c r="A846" s="47"/>
    </row>
    <row r="847" spans="1:1" s="48" customFormat="1" ht="16.5" x14ac:dyDescent="0.3">
      <c r="A847" s="47"/>
    </row>
    <row r="848" spans="1:1" s="48" customFormat="1" ht="16.5" x14ac:dyDescent="0.3">
      <c r="A848" s="47"/>
    </row>
    <row r="849" spans="1:1" s="48" customFormat="1" ht="16.5" x14ac:dyDescent="0.3">
      <c r="A849" s="47"/>
    </row>
    <row r="850" spans="1:1" s="48" customFormat="1" ht="16.5" x14ac:dyDescent="0.3">
      <c r="A850" s="47"/>
    </row>
    <row r="851" spans="1:1" s="48" customFormat="1" ht="16.5" x14ac:dyDescent="0.3">
      <c r="A851" s="47"/>
    </row>
    <row r="852" spans="1:1" s="48" customFormat="1" ht="16.5" x14ac:dyDescent="0.3">
      <c r="A852" s="47"/>
    </row>
    <row r="853" spans="1:1" s="48" customFormat="1" ht="16.5" x14ac:dyDescent="0.3">
      <c r="A853" s="47"/>
    </row>
    <row r="854" spans="1:1" s="48" customFormat="1" ht="16.5" x14ac:dyDescent="0.3">
      <c r="A854" s="47"/>
    </row>
    <row r="855" spans="1:1" s="48" customFormat="1" ht="16.5" x14ac:dyDescent="0.3">
      <c r="A855" s="47"/>
    </row>
    <row r="856" spans="1:1" s="48" customFormat="1" ht="16.5" x14ac:dyDescent="0.3">
      <c r="A856" s="47"/>
    </row>
    <row r="857" spans="1:1" s="48" customFormat="1" ht="16.5" x14ac:dyDescent="0.3">
      <c r="A857" s="47"/>
    </row>
    <row r="858" spans="1:1" s="48" customFormat="1" ht="16.5" x14ac:dyDescent="0.3">
      <c r="A858" s="47"/>
    </row>
    <row r="859" spans="1:1" s="48" customFormat="1" ht="16.5" x14ac:dyDescent="0.3">
      <c r="A859" s="47"/>
    </row>
    <row r="860" spans="1:1" s="48" customFormat="1" ht="16.5" x14ac:dyDescent="0.3">
      <c r="A860" s="47"/>
    </row>
    <row r="861" spans="1:1" s="48" customFormat="1" ht="16.5" x14ac:dyDescent="0.3">
      <c r="A861" s="47"/>
    </row>
    <row r="862" spans="1:1" s="48" customFormat="1" ht="16.5" x14ac:dyDescent="0.3">
      <c r="A862" s="47"/>
    </row>
    <row r="863" spans="1:1" s="48" customFormat="1" ht="16.5" x14ac:dyDescent="0.3">
      <c r="A863" s="47"/>
    </row>
    <row r="864" spans="1:1" s="48" customFormat="1" ht="16.5" x14ac:dyDescent="0.3">
      <c r="A864" s="47"/>
    </row>
    <row r="865" spans="1:1" s="48" customFormat="1" ht="16.5" x14ac:dyDescent="0.3">
      <c r="A865" s="47"/>
    </row>
    <row r="866" spans="1:1" s="48" customFormat="1" ht="16.5" x14ac:dyDescent="0.3">
      <c r="A866" s="47"/>
    </row>
    <row r="867" spans="1:1" s="48" customFormat="1" ht="16.5" x14ac:dyDescent="0.3">
      <c r="A867" s="47"/>
    </row>
    <row r="868" spans="1:1" s="48" customFormat="1" ht="16.5" x14ac:dyDescent="0.3">
      <c r="A868" s="47"/>
    </row>
    <row r="869" spans="1:1" s="48" customFormat="1" ht="16.5" x14ac:dyDescent="0.3">
      <c r="A869" s="47"/>
    </row>
    <row r="870" spans="1:1" s="48" customFormat="1" ht="16.5" x14ac:dyDescent="0.3">
      <c r="A870" s="47"/>
    </row>
    <row r="871" spans="1:1" s="48" customFormat="1" ht="16.5" x14ac:dyDescent="0.3">
      <c r="A871" s="47"/>
    </row>
    <row r="872" spans="1:1" s="48" customFormat="1" ht="16.5" x14ac:dyDescent="0.3">
      <c r="A872" s="47"/>
    </row>
    <row r="873" spans="1:1" s="48" customFormat="1" ht="16.5" x14ac:dyDescent="0.3">
      <c r="A873" s="47"/>
    </row>
    <row r="874" spans="1:1" s="48" customFormat="1" ht="16.5" x14ac:dyDescent="0.3">
      <c r="A874" s="47"/>
    </row>
    <row r="875" spans="1:1" s="48" customFormat="1" ht="16.5" x14ac:dyDescent="0.3">
      <c r="A875" s="47"/>
    </row>
    <row r="876" spans="1:1" s="48" customFormat="1" ht="16.5" x14ac:dyDescent="0.3">
      <c r="A876" s="47"/>
    </row>
    <row r="877" spans="1:1" s="48" customFormat="1" ht="16.5" x14ac:dyDescent="0.3">
      <c r="A877" s="47"/>
    </row>
    <row r="878" spans="1:1" s="48" customFormat="1" ht="16.5" x14ac:dyDescent="0.3">
      <c r="A878" s="47"/>
    </row>
    <row r="879" spans="1:1" s="48" customFormat="1" ht="16.5" x14ac:dyDescent="0.3">
      <c r="A879" s="47"/>
    </row>
    <row r="880" spans="1:1" s="48" customFormat="1" ht="16.5" x14ac:dyDescent="0.3">
      <c r="A880" s="47"/>
    </row>
    <row r="881" spans="1:1" s="48" customFormat="1" ht="16.5" x14ac:dyDescent="0.3">
      <c r="A881" s="47"/>
    </row>
    <row r="882" spans="1:1" s="48" customFormat="1" ht="16.5" x14ac:dyDescent="0.3">
      <c r="A882" s="47"/>
    </row>
    <row r="883" spans="1:1" s="48" customFormat="1" ht="16.5" x14ac:dyDescent="0.3">
      <c r="A883" s="47"/>
    </row>
    <row r="884" spans="1:1" s="48" customFormat="1" ht="16.5" x14ac:dyDescent="0.3">
      <c r="A884" s="47"/>
    </row>
    <row r="885" spans="1:1" s="48" customFormat="1" ht="16.5" x14ac:dyDescent="0.3">
      <c r="A885" s="47"/>
    </row>
    <row r="886" spans="1:1" s="48" customFormat="1" ht="16.5" x14ac:dyDescent="0.3">
      <c r="A886" s="47"/>
    </row>
    <row r="887" spans="1:1" s="48" customFormat="1" ht="16.5" x14ac:dyDescent="0.3">
      <c r="A887" s="47"/>
    </row>
    <row r="888" spans="1:1" s="48" customFormat="1" ht="16.5" x14ac:dyDescent="0.3">
      <c r="A888" s="47"/>
    </row>
    <row r="889" spans="1:1" s="48" customFormat="1" ht="16.5" x14ac:dyDescent="0.3">
      <c r="A889" s="47"/>
    </row>
    <row r="890" spans="1:1" s="48" customFormat="1" ht="16.5" x14ac:dyDescent="0.3">
      <c r="A890" s="47"/>
    </row>
    <row r="891" spans="1:1" s="48" customFormat="1" ht="16.5" x14ac:dyDescent="0.3">
      <c r="A891" s="47"/>
    </row>
    <row r="892" spans="1:1" s="48" customFormat="1" ht="16.5" x14ac:dyDescent="0.3">
      <c r="A892" s="47"/>
    </row>
    <row r="893" spans="1:1" s="48" customFormat="1" ht="16.5" x14ac:dyDescent="0.3">
      <c r="A893" s="47"/>
    </row>
    <row r="894" spans="1:1" s="48" customFormat="1" ht="16.5" x14ac:dyDescent="0.3">
      <c r="A894" s="47"/>
    </row>
    <row r="895" spans="1:1" s="48" customFormat="1" ht="16.5" x14ac:dyDescent="0.3">
      <c r="A895" s="47"/>
    </row>
    <row r="896" spans="1:1" s="48" customFormat="1" ht="16.5" x14ac:dyDescent="0.3">
      <c r="A896" s="47"/>
    </row>
    <row r="897" spans="1:1" s="48" customFormat="1" ht="16.5" x14ac:dyDescent="0.3">
      <c r="A897" s="47"/>
    </row>
    <row r="898" spans="1:1" s="48" customFormat="1" ht="16.5" x14ac:dyDescent="0.3">
      <c r="A898" s="47"/>
    </row>
    <row r="899" spans="1:1" s="48" customFormat="1" ht="16.5" x14ac:dyDescent="0.3">
      <c r="A899" s="47"/>
    </row>
    <row r="900" spans="1:1" s="48" customFormat="1" ht="16.5" x14ac:dyDescent="0.3">
      <c r="A900" s="47"/>
    </row>
    <row r="901" spans="1:1" s="48" customFormat="1" ht="16.5" x14ac:dyDescent="0.3">
      <c r="A901" s="47"/>
    </row>
    <row r="902" spans="1:1" s="48" customFormat="1" ht="16.5" x14ac:dyDescent="0.3">
      <c r="A902" s="47"/>
    </row>
    <row r="903" spans="1:1" s="48" customFormat="1" ht="16.5" x14ac:dyDescent="0.3">
      <c r="A903" s="47"/>
    </row>
    <row r="904" spans="1:1" s="48" customFormat="1" ht="16.5" x14ac:dyDescent="0.3">
      <c r="A904" s="47"/>
    </row>
    <row r="905" spans="1:1" s="48" customFormat="1" ht="16.5" x14ac:dyDescent="0.3">
      <c r="A905" s="47"/>
    </row>
    <row r="906" spans="1:1" s="48" customFormat="1" ht="16.5" x14ac:dyDescent="0.3">
      <c r="A906" s="47"/>
    </row>
    <row r="907" spans="1:1" s="48" customFormat="1" ht="16.5" x14ac:dyDescent="0.3">
      <c r="A907" s="47"/>
    </row>
    <row r="908" spans="1:1" s="48" customFormat="1" ht="16.5" x14ac:dyDescent="0.3">
      <c r="A908" s="47"/>
    </row>
    <row r="909" spans="1:1" s="48" customFormat="1" ht="16.5" x14ac:dyDescent="0.3">
      <c r="A909" s="47"/>
    </row>
    <row r="910" spans="1:1" s="48" customFormat="1" ht="16.5" x14ac:dyDescent="0.3">
      <c r="A910" s="47"/>
    </row>
    <row r="911" spans="1:1" s="48" customFormat="1" ht="16.5" x14ac:dyDescent="0.3">
      <c r="A911" s="47"/>
    </row>
    <row r="912" spans="1:1" s="48" customFormat="1" ht="16.5" x14ac:dyDescent="0.3">
      <c r="A912" s="47"/>
    </row>
    <row r="913" spans="1:1" s="48" customFormat="1" ht="16.5" x14ac:dyDescent="0.3">
      <c r="A913" s="47"/>
    </row>
    <row r="914" spans="1:1" s="48" customFormat="1" ht="16.5" x14ac:dyDescent="0.3">
      <c r="A914" s="47"/>
    </row>
    <row r="915" spans="1:1" s="48" customFormat="1" ht="16.5" x14ac:dyDescent="0.3">
      <c r="A915" s="47"/>
    </row>
    <row r="916" spans="1:1" s="48" customFormat="1" ht="16.5" x14ac:dyDescent="0.3">
      <c r="A916" s="47"/>
    </row>
    <row r="917" spans="1:1" s="48" customFormat="1" ht="16.5" x14ac:dyDescent="0.3">
      <c r="A917" s="47"/>
    </row>
    <row r="918" spans="1:1" s="48" customFormat="1" ht="16.5" x14ac:dyDescent="0.3">
      <c r="A918" s="47"/>
    </row>
    <row r="919" spans="1:1" s="48" customFormat="1" ht="16.5" x14ac:dyDescent="0.3">
      <c r="A919" s="47"/>
    </row>
    <row r="920" spans="1:1" s="48" customFormat="1" ht="16.5" x14ac:dyDescent="0.3">
      <c r="A920" s="47"/>
    </row>
    <row r="921" spans="1:1" s="48" customFormat="1" ht="16.5" x14ac:dyDescent="0.3">
      <c r="A921" s="47"/>
    </row>
    <row r="922" spans="1:1" s="48" customFormat="1" ht="16.5" x14ac:dyDescent="0.3">
      <c r="A922" s="47"/>
    </row>
    <row r="923" spans="1:1" s="48" customFormat="1" ht="16.5" x14ac:dyDescent="0.3">
      <c r="A923" s="47"/>
    </row>
    <row r="924" spans="1:1" s="48" customFormat="1" ht="16.5" x14ac:dyDescent="0.3">
      <c r="A924" s="47"/>
    </row>
    <row r="925" spans="1:1" s="48" customFormat="1" ht="16.5" x14ac:dyDescent="0.3">
      <c r="A925" s="47"/>
    </row>
    <row r="926" spans="1:1" s="48" customFormat="1" ht="16.5" x14ac:dyDescent="0.3">
      <c r="A926" s="47"/>
    </row>
    <row r="927" spans="1:1" s="48" customFormat="1" ht="16.5" x14ac:dyDescent="0.3">
      <c r="A927" s="47"/>
    </row>
    <row r="928" spans="1:1" s="48" customFormat="1" ht="16.5" x14ac:dyDescent="0.3">
      <c r="A928" s="47"/>
    </row>
    <row r="929" spans="1:1" s="48" customFormat="1" ht="16.5" x14ac:dyDescent="0.3">
      <c r="A929" s="47"/>
    </row>
    <row r="930" spans="1:1" s="48" customFormat="1" ht="16.5" x14ac:dyDescent="0.3">
      <c r="A930" s="47"/>
    </row>
    <row r="931" spans="1:1" s="48" customFormat="1" ht="16.5" x14ac:dyDescent="0.3">
      <c r="A931" s="47"/>
    </row>
    <row r="932" spans="1:1" s="48" customFormat="1" ht="16.5" x14ac:dyDescent="0.3">
      <c r="A932" s="47"/>
    </row>
    <row r="933" spans="1:1" s="48" customFormat="1" ht="16.5" x14ac:dyDescent="0.3">
      <c r="A933" s="47"/>
    </row>
    <row r="934" spans="1:1" s="48" customFormat="1" ht="16.5" x14ac:dyDescent="0.3">
      <c r="A934" s="47"/>
    </row>
    <row r="935" spans="1:1" s="48" customFormat="1" ht="16.5" x14ac:dyDescent="0.3">
      <c r="A935" s="47"/>
    </row>
    <row r="936" spans="1:1" s="48" customFormat="1" ht="16.5" x14ac:dyDescent="0.3">
      <c r="A936" s="47"/>
    </row>
    <row r="937" spans="1:1" s="48" customFormat="1" ht="16.5" x14ac:dyDescent="0.3">
      <c r="A937" s="47"/>
    </row>
    <row r="938" spans="1:1" s="48" customFormat="1" ht="16.5" x14ac:dyDescent="0.3">
      <c r="A938" s="47"/>
    </row>
    <row r="939" spans="1:1" s="48" customFormat="1" ht="16.5" x14ac:dyDescent="0.3">
      <c r="A939" s="47"/>
    </row>
    <row r="940" spans="1:1" s="48" customFormat="1" ht="16.5" x14ac:dyDescent="0.3">
      <c r="A940" s="47"/>
    </row>
    <row r="941" spans="1:1" s="48" customFormat="1" ht="16.5" x14ac:dyDescent="0.3">
      <c r="A941" s="47"/>
    </row>
    <row r="942" spans="1:1" s="48" customFormat="1" ht="16.5" x14ac:dyDescent="0.3">
      <c r="A942" s="47"/>
    </row>
    <row r="943" spans="1:1" s="48" customFormat="1" ht="16.5" x14ac:dyDescent="0.3">
      <c r="A943" s="47"/>
    </row>
    <row r="944" spans="1:1" s="48" customFormat="1" ht="16.5" x14ac:dyDescent="0.3">
      <c r="A944" s="47"/>
    </row>
    <row r="945" spans="1:1" s="48" customFormat="1" ht="16.5" x14ac:dyDescent="0.3">
      <c r="A945" s="47"/>
    </row>
    <row r="946" spans="1:1" s="48" customFormat="1" ht="16.5" x14ac:dyDescent="0.3">
      <c r="A946" s="47"/>
    </row>
    <row r="947" spans="1:1" s="48" customFormat="1" ht="16.5" x14ac:dyDescent="0.3">
      <c r="A947" s="47"/>
    </row>
    <row r="948" spans="1:1" s="48" customFormat="1" ht="16.5" x14ac:dyDescent="0.3">
      <c r="A948" s="47"/>
    </row>
    <row r="949" spans="1:1" s="48" customFormat="1" ht="16.5" x14ac:dyDescent="0.3">
      <c r="A949" s="47"/>
    </row>
    <row r="950" spans="1:1" s="48" customFormat="1" ht="16.5" x14ac:dyDescent="0.3">
      <c r="A950" s="47"/>
    </row>
    <row r="951" spans="1:1" s="48" customFormat="1" ht="16.5" x14ac:dyDescent="0.3">
      <c r="A951" s="47"/>
    </row>
    <row r="952" spans="1:1" s="48" customFormat="1" ht="16.5" x14ac:dyDescent="0.3">
      <c r="A952" s="47"/>
    </row>
    <row r="953" spans="1:1" s="48" customFormat="1" ht="16.5" x14ac:dyDescent="0.3">
      <c r="A953" s="47"/>
    </row>
    <row r="954" spans="1:1" s="48" customFormat="1" ht="16.5" x14ac:dyDescent="0.3">
      <c r="A954" s="47"/>
    </row>
    <row r="955" spans="1:1" s="48" customFormat="1" ht="16.5" x14ac:dyDescent="0.3">
      <c r="A955" s="47"/>
    </row>
    <row r="956" spans="1:1" s="48" customFormat="1" ht="16.5" x14ac:dyDescent="0.3">
      <c r="A956" s="47"/>
    </row>
    <row r="957" spans="1:1" s="48" customFormat="1" ht="16.5" x14ac:dyDescent="0.3">
      <c r="A957" s="47"/>
    </row>
    <row r="958" spans="1:1" s="48" customFormat="1" ht="16.5" x14ac:dyDescent="0.3">
      <c r="A958" s="47"/>
    </row>
    <row r="959" spans="1:1" s="48" customFormat="1" ht="16.5" x14ac:dyDescent="0.3">
      <c r="A959" s="47"/>
    </row>
    <row r="960" spans="1:1" s="48" customFormat="1" ht="16.5" x14ac:dyDescent="0.3">
      <c r="A960" s="47"/>
    </row>
    <row r="961" spans="1:1" s="48" customFormat="1" ht="16.5" x14ac:dyDescent="0.3">
      <c r="A961" s="47"/>
    </row>
    <row r="962" spans="1:1" s="48" customFormat="1" ht="16.5" x14ac:dyDescent="0.3">
      <c r="A962" s="47"/>
    </row>
    <row r="963" spans="1:1" s="48" customFormat="1" ht="16.5" x14ac:dyDescent="0.3">
      <c r="A963" s="47"/>
    </row>
    <row r="964" spans="1:1" s="48" customFormat="1" ht="16.5" x14ac:dyDescent="0.3">
      <c r="A964" s="47"/>
    </row>
    <row r="965" spans="1:1" s="48" customFormat="1" ht="16.5" x14ac:dyDescent="0.3">
      <c r="A965" s="47"/>
    </row>
    <row r="966" spans="1:1" s="48" customFormat="1" ht="16.5" x14ac:dyDescent="0.3">
      <c r="A966" s="47"/>
    </row>
    <row r="967" spans="1:1" s="48" customFormat="1" ht="16.5" x14ac:dyDescent="0.3">
      <c r="A967" s="47"/>
    </row>
    <row r="968" spans="1:1" s="48" customFormat="1" ht="16.5" x14ac:dyDescent="0.3">
      <c r="A968" s="47"/>
    </row>
    <row r="969" spans="1:1" s="48" customFormat="1" ht="16.5" x14ac:dyDescent="0.3">
      <c r="A969" s="47"/>
    </row>
    <row r="970" spans="1:1" s="48" customFormat="1" ht="16.5" x14ac:dyDescent="0.3">
      <c r="A970" s="47"/>
    </row>
    <row r="971" spans="1:1" s="48" customFormat="1" ht="16.5" x14ac:dyDescent="0.3">
      <c r="A971" s="47"/>
    </row>
    <row r="972" spans="1:1" s="48" customFormat="1" ht="16.5" x14ac:dyDescent="0.3">
      <c r="A972" s="47"/>
    </row>
    <row r="973" spans="1:1" s="48" customFormat="1" ht="16.5" x14ac:dyDescent="0.3">
      <c r="A973" s="47"/>
    </row>
    <row r="974" spans="1:1" s="48" customFormat="1" ht="16.5" x14ac:dyDescent="0.3">
      <c r="A974" s="47"/>
    </row>
    <row r="975" spans="1:1" s="48" customFormat="1" ht="16.5" x14ac:dyDescent="0.3">
      <c r="A975" s="47"/>
    </row>
    <row r="976" spans="1:1" s="48" customFormat="1" ht="16.5" x14ac:dyDescent="0.3">
      <c r="A976" s="47"/>
    </row>
    <row r="977" spans="1:1" s="48" customFormat="1" ht="16.5" x14ac:dyDescent="0.3">
      <c r="A977" s="47"/>
    </row>
    <row r="978" spans="1:1" s="48" customFormat="1" ht="16.5" x14ac:dyDescent="0.3">
      <c r="A978" s="47"/>
    </row>
    <row r="979" spans="1:1" s="48" customFormat="1" ht="16.5" x14ac:dyDescent="0.3">
      <c r="A979" s="47"/>
    </row>
    <row r="980" spans="1:1" s="48" customFormat="1" ht="16.5" x14ac:dyDescent="0.3">
      <c r="A980" s="47"/>
    </row>
    <row r="981" spans="1:1" s="48" customFormat="1" ht="16.5" x14ac:dyDescent="0.3">
      <c r="A981" s="47"/>
    </row>
    <row r="982" spans="1:1" s="48" customFormat="1" ht="16.5" x14ac:dyDescent="0.3">
      <c r="A982" s="47"/>
    </row>
    <row r="983" spans="1:1" s="48" customFormat="1" ht="16.5" x14ac:dyDescent="0.3">
      <c r="A983" s="47"/>
    </row>
    <row r="984" spans="1:1" s="48" customFormat="1" ht="16.5" x14ac:dyDescent="0.3">
      <c r="A984" s="47"/>
    </row>
    <row r="985" spans="1:1" s="48" customFormat="1" ht="16.5" x14ac:dyDescent="0.3">
      <c r="A985" s="47"/>
    </row>
    <row r="986" spans="1:1" s="48" customFormat="1" ht="16.5" x14ac:dyDescent="0.3">
      <c r="A986" s="47"/>
    </row>
    <row r="987" spans="1:1" s="48" customFormat="1" ht="16.5" x14ac:dyDescent="0.3">
      <c r="A987" s="47"/>
    </row>
    <row r="988" spans="1:1" s="48" customFormat="1" ht="16.5" x14ac:dyDescent="0.3">
      <c r="A988" s="47"/>
    </row>
    <row r="989" spans="1:1" s="48" customFormat="1" ht="16.5" x14ac:dyDescent="0.3">
      <c r="A989" s="47"/>
    </row>
    <row r="990" spans="1:1" s="48" customFormat="1" ht="16.5" x14ac:dyDescent="0.3">
      <c r="A990" s="47"/>
    </row>
    <row r="991" spans="1:1" s="48" customFormat="1" ht="16.5" x14ac:dyDescent="0.3">
      <c r="A991" s="47"/>
    </row>
    <row r="992" spans="1:1" s="48" customFormat="1" ht="16.5" x14ac:dyDescent="0.3">
      <c r="A992" s="47"/>
    </row>
    <row r="993" spans="1:1" s="48" customFormat="1" ht="16.5" x14ac:dyDescent="0.3">
      <c r="A993" s="47"/>
    </row>
    <row r="994" spans="1:1" s="48" customFormat="1" ht="16.5" x14ac:dyDescent="0.3">
      <c r="A994" s="47"/>
    </row>
    <row r="995" spans="1:1" s="48" customFormat="1" ht="16.5" x14ac:dyDescent="0.3">
      <c r="A995" s="47"/>
    </row>
    <row r="996" spans="1:1" s="48" customFormat="1" ht="16.5" x14ac:dyDescent="0.3">
      <c r="A996" s="47"/>
    </row>
    <row r="997" spans="1:1" s="48" customFormat="1" ht="16.5" x14ac:dyDescent="0.3">
      <c r="A997" s="47"/>
    </row>
    <row r="998" spans="1:1" s="48" customFormat="1" ht="16.5" x14ac:dyDescent="0.3">
      <c r="A998" s="47"/>
    </row>
    <row r="999" spans="1:1" s="48" customFormat="1" ht="16.5" x14ac:dyDescent="0.3">
      <c r="A999" s="47"/>
    </row>
    <row r="1000" spans="1:1" s="48" customFormat="1" ht="16.5" x14ac:dyDescent="0.3">
      <c r="A1000" s="47"/>
    </row>
    <row r="1001" spans="1:1" s="48" customFormat="1" ht="16.5" x14ac:dyDescent="0.3">
      <c r="A1001" s="47"/>
    </row>
    <row r="1002" spans="1:1" s="48" customFormat="1" ht="16.5" x14ac:dyDescent="0.3">
      <c r="A1002" s="47"/>
    </row>
    <row r="1003" spans="1:1" s="48" customFormat="1" ht="16.5" x14ac:dyDescent="0.3">
      <c r="A1003" s="47"/>
    </row>
    <row r="1004" spans="1:1" s="48" customFormat="1" ht="16.5" x14ac:dyDescent="0.3">
      <c r="A1004" s="47"/>
    </row>
    <row r="1005" spans="1:1" s="48" customFormat="1" ht="16.5" x14ac:dyDescent="0.3">
      <c r="A1005" s="47"/>
    </row>
    <row r="1006" spans="1:1" s="48" customFormat="1" ht="16.5" x14ac:dyDescent="0.3">
      <c r="A1006" s="47"/>
    </row>
    <row r="1007" spans="1:1" s="48" customFormat="1" ht="16.5" x14ac:dyDescent="0.3">
      <c r="A1007" s="47"/>
    </row>
    <row r="1008" spans="1:1" s="48" customFormat="1" ht="16.5" x14ac:dyDescent="0.3">
      <c r="A1008" s="47"/>
    </row>
    <row r="1009" spans="1:1" s="48" customFormat="1" ht="16.5" x14ac:dyDescent="0.3">
      <c r="A1009" s="47"/>
    </row>
    <row r="1010" spans="1:1" s="48" customFormat="1" ht="16.5" x14ac:dyDescent="0.3">
      <c r="A1010" s="47"/>
    </row>
    <row r="1011" spans="1:1" s="48" customFormat="1" ht="16.5" x14ac:dyDescent="0.3">
      <c r="A1011" s="47"/>
    </row>
    <row r="1012" spans="1:1" s="48" customFormat="1" ht="16.5" x14ac:dyDescent="0.3">
      <c r="A1012" s="47"/>
    </row>
    <row r="1013" spans="1:1" s="48" customFormat="1" ht="16.5" x14ac:dyDescent="0.3">
      <c r="A1013" s="47"/>
    </row>
    <row r="1014" spans="1:1" s="48" customFormat="1" ht="16.5" x14ac:dyDescent="0.3">
      <c r="A1014" s="47"/>
    </row>
    <row r="1015" spans="1:1" s="48" customFormat="1" ht="16.5" x14ac:dyDescent="0.3">
      <c r="A1015" s="47"/>
    </row>
    <row r="1016" spans="1:1" s="48" customFormat="1" ht="16.5" x14ac:dyDescent="0.3">
      <c r="A1016" s="47"/>
    </row>
    <row r="1017" spans="1:1" s="48" customFormat="1" ht="16.5" x14ac:dyDescent="0.3">
      <c r="A1017" s="47"/>
    </row>
    <row r="1018" spans="1:1" s="48" customFormat="1" ht="16.5" x14ac:dyDescent="0.3">
      <c r="A1018" s="47"/>
    </row>
    <row r="1019" spans="1:1" s="48" customFormat="1" ht="16.5" x14ac:dyDescent="0.3">
      <c r="A1019" s="47"/>
    </row>
    <row r="1020" spans="1:1" s="48" customFormat="1" ht="16.5" x14ac:dyDescent="0.3">
      <c r="A1020" s="47"/>
    </row>
    <row r="1021" spans="1:1" s="48" customFormat="1" ht="16.5" x14ac:dyDescent="0.3">
      <c r="A1021" s="47"/>
    </row>
    <row r="1022" spans="1:1" s="48" customFormat="1" ht="16.5" x14ac:dyDescent="0.3">
      <c r="A1022" s="47"/>
    </row>
    <row r="1023" spans="1:1" s="48" customFormat="1" ht="16.5" x14ac:dyDescent="0.3">
      <c r="A1023" s="47"/>
    </row>
    <row r="1024" spans="1:1" s="48" customFormat="1" ht="16.5" x14ac:dyDescent="0.3">
      <c r="A1024" s="47"/>
    </row>
    <row r="1025" spans="1:1" s="48" customFormat="1" ht="16.5" x14ac:dyDescent="0.3">
      <c r="A1025" s="47"/>
    </row>
    <row r="1026" spans="1:1" s="48" customFormat="1" ht="16.5" x14ac:dyDescent="0.3">
      <c r="A1026" s="47"/>
    </row>
    <row r="1027" spans="1:1" s="48" customFormat="1" ht="16.5" x14ac:dyDescent="0.3">
      <c r="A1027" s="47"/>
    </row>
    <row r="1028" spans="1:1" s="48" customFormat="1" ht="16.5" x14ac:dyDescent="0.3">
      <c r="A1028" s="47"/>
    </row>
    <row r="1029" spans="1:1" s="48" customFormat="1" ht="16.5" x14ac:dyDescent="0.3">
      <c r="A1029" s="47"/>
    </row>
    <row r="1030" spans="1:1" s="48" customFormat="1" ht="16.5" x14ac:dyDescent="0.3">
      <c r="A1030" s="47"/>
    </row>
    <row r="1031" spans="1:1" s="48" customFormat="1" ht="16.5" x14ac:dyDescent="0.3">
      <c r="A1031" s="47"/>
    </row>
    <row r="1032" spans="1:1" s="48" customFormat="1" ht="16.5" x14ac:dyDescent="0.3">
      <c r="A1032" s="47"/>
    </row>
    <row r="1033" spans="1:1" s="48" customFormat="1" ht="16.5" x14ac:dyDescent="0.3">
      <c r="A1033" s="47"/>
    </row>
    <row r="1034" spans="1:1" s="48" customFormat="1" ht="16.5" x14ac:dyDescent="0.3">
      <c r="A1034" s="47"/>
    </row>
    <row r="1035" spans="1:1" s="48" customFormat="1" ht="16.5" x14ac:dyDescent="0.3">
      <c r="A1035" s="47"/>
    </row>
    <row r="1036" spans="1:1" s="48" customFormat="1" ht="16.5" x14ac:dyDescent="0.3">
      <c r="A1036" s="47"/>
    </row>
    <row r="1037" spans="1:1" s="48" customFormat="1" ht="16.5" x14ac:dyDescent="0.3">
      <c r="A1037" s="47"/>
    </row>
    <row r="1038" spans="1:1" s="48" customFormat="1" ht="16.5" x14ac:dyDescent="0.3">
      <c r="A1038" s="47"/>
    </row>
    <row r="1039" spans="1:1" s="48" customFormat="1" ht="16.5" x14ac:dyDescent="0.3">
      <c r="A1039" s="47"/>
    </row>
    <row r="1040" spans="1:1" s="48" customFormat="1" ht="16.5" x14ac:dyDescent="0.3">
      <c r="A1040" s="47"/>
    </row>
    <row r="1041" spans="1:1" s="48" customFormat="1" ht="16.5" x14ac:dyDescent="0.3">
      <c r="A1041" s="47"/>
    </row>
    <row r="1042" spans="1:1" s="48" customFormat="1" ht="16.5" x14ac:dyDescent="0.3">
      <c r="A1042" s="47"/>
    </row>
    <row r="1043" spans="1:1" s="48" customFormat="1" ht="16.5" x14ac:dyDescent="0.3">
      <c r="A1043" s="47"/>
    </row>
    <row r="1044" spans="1:1" s="48" customFormat="1" ht="16.5" x14ac:dyDescent="0.3">
      <c r="A1044" s="47"/>
    </row>
    <row r="1045" spans="1:1" s="48" customFormat="1" ht="16.5" x14ac:dyDescent="0.3">
      <c r="A1045" s="47"/>
    </row>
    <row r="1046" spans="1:1" s="48" customFormat="1" ht="16.5" x14ac:dyDescent="0.3">
      <c r="A1046" s="47"/>
    </row>
    <row r="1047" spans="1:1" s="48" customFormat="1" ht="16.5" x14ac:dyDescent="0.3">
      <c r="A1047" s="47"/>
    </row>
    <row r="1048" spans="1:1" s="48" customFormat="1" ht="16.5" x14ac:dyDescent="0.3">
      <c r="A1048" s="47"/>
    </row>
    <row r="1049" spans="1:1" s="48" customFormat="1" ht="16.5" x14ac:dyDescent="0.3">
      <c r="A1049" s="47"/>
    </row>
    <row r="1050" spans="1:1" s="48" customFormat="1" ht="16.5" x14ac:dyDescent="0.3">
      <c r="A1050" s="47"/>
    </row>
    <row r="1051" spans="1:1" s="48" customFormat="1" ht="16.5" x14ac:dyDescent="0.3">
      <c r="A1051" s="47"/>
    </row>
    <row r="1052" spans="1:1" s="48" customFormat="1" ht="16.5" x14ac:dyDescent="0.3">
      <c r="A1052" s="47"/>
    </row>
    <row r="1053" spans="1:1" s="48" customFormat="1" ht="16.5" x14ac:dyDescent="0.3">
      <c r="A1053" s="47"/>
    </row>
    <row r="1054" spans="1:1" s="48" customFormat="1" ht="16.5" x14ac:dyDescent="0.3">
      <c r="A1054" s="47"/>
    </row>
    <row r="1055" spans="1:1" s="48" customFormat="1" ht="16.5" x14ac:dyDescent="0.3">
      <c r="A1055" s="47"/>
    </row>
    <row r="1056" spans="1:1" s="48" customFormat="1" ht="16.5" x14ac:dyDescent="0.3">
      <c r="A1056" s="47"/>
    </row>
    <row r="1057" spans="1:1" s="48" customFormat="1" ht="16.5" x14ac:dyDescent="0.3">
      <c r="A1057" s="47"/>
    </row>
    <row r="1058" spans="1:1" s="48" customFormat="1" ht="16.5" x14ac:dyDescent="0.3">
      <c r="A1058" s="47"/>
    </row>
    <row r="1059" spans="1:1" s="48" customFormat="1" ht="16.5" x14ac:dyDescent="0.3">
      <c r="A1059" s="47"/>
    </row>
    <row r="1060" spans="1:1" s="48" customFormat="1" ht="16.5" x14ac:dyDescent="0.3">
      <c r="A1060" s="47"/>
    </row>
    <row r="1061" spans="1:1" s="48" customFormat="1" ht="16.5" x14ac:dyDescent="0.3">
      <c r="A1061" s="47"/>
    </row>
    <row r="1062" spans="1:1" s="48" customFormat="1" ht="16.5" x14ac:dyDescent="0.3">
      <c r="A1062" s="47"/>
    </row>
    <row r="1063" spans="1:1" s="48" customFormat="1" ht="16.5" x14ac:dyDescent="0.3">
      <c r="A1063" s="47"/>
    </row>
    <row r="1064" spans="1:1" s="48" customFormat="1" ht="16.5" x14ac:dyDescent="0.3">
      <c r="A1064" s="47"/>
    </row>
    <row r="1065" spans="1:1" s="48" customFormat="1" ht="16.5" x14ac:dyDescent="0.3">
      <c r="A1065" s="47"/>
    </row>
    <row r="1066" spans="1:1" s="48" customFormat="1" ht="16.5" x14ac:dyDescent="0.3">
      <c r="A1066" s="47"/>
    </row>
    <row r="1067" spans="1:1" s="48" customFormat="1" ht="16.5" x14ac:dyDescent="0.3">
      <c r="A1067" s="47"/>
    </row>
    <row r="1068" spans="1:1" s="48" customFormat="1" ht="16.5" x14ac:dyDescent="0.3">
      <c r="A1068" s="47"/>
    </row>
    <row r="1069" spans="1:1" s="48" customFormat="1" ht="16.5" x14ac:dyDescent="0.3">
      <c r="A1069" s="47"/>
    </row>
    <row r="1070" spans="1:1" s="48" customFormat="1" ht="16.5" x14ac:dyDescent="0.3">
      <c r="A1070" s="47"/>
    </row>
    <row r="1071" spans="1:1" s="48" customFormat="1" ht="16.5" x14ac:dyDescent="0.3">
      <c r="A1071" s="47"/>
    </row>
    <row r="1072" spans="1:1" s="48" customFormat="1" ht="16.5" x14ac:dyDescent="0.3">
      <c r="A1072" s="47"/>
    </row>
    <row r="1073" spans="1:1" s="48" customFormat="1" ht="16.5" x14ac:dyDescent="0.3">
      <c r="A1073" s="47"/>
    </row>
    <row r="1074" spans="1:1" s="48" customFormat="1" ht="16.5" x14ac:dyDescent="0.3">
      <c r="A1074" s="47"/>
    </row>
    <row r="1075" spans="1:1" s="48" customFormat="1" ht="16.5" x14ac:dyDescent="0.3">
      <c r="A1075" s="47"/>
    </row>
    <row r="1076" spans="1:1" s="48" customFormat="1" ht="16.5" x14ac:dyDescent="0.3">
      <c r="A1076" s="47"/>
    </row>
    <row r="1077" spans="1:1" s="48" customFormat="1" ht="16.5" x14ac:dyDescent="0.3">
      <c r="A1077" s="47"/>
    </row>
    <row r="1078" spans="1:1" s="48" customFormat="1" ht="16.5" x14ac:dyDescent="0.3">
      <c r="A1078" s="47"/>
    </row>
    <row r="1079" spans="1:1" s="48" customFormat="1" ht="16.5" x14ac:dyDescent="0.3">
      <c r="A1079" s="47"/>
    </row>
    <row r="1080" spans="1:1" s="48" customFormat="1" ht="16.5" x14ac:dyDescent="0.3">
      <c r="A1080" s="47"/>
    </row>
    <row r="1081" spans="1:1" s="48" customFormat="1" ht="16.5" x14ac:dyDescent="0.3">
      <c r="A1081" s="47"/>
    </row>
    <row r="1082" spans="1:1" s="48" customFormat="1" ht="16.5" x14ac:dyDescent="0.3">
      <c r="A1082" s="47"/>
    </row>
    <row r="1083" spans="1:1" s="48" customFormat="1" ht="16.5" x14ac:dyDescent="0.3">
      <c r="A1083" s="47"/>
    </row>
    <row r="1084" spans="1:1" s="48" customFormat="1" ht="16.5" x14ac:dyDescent="0.3">
      <c r="A1084" s="47"/>
    </row>
    <row r="1085" spans="1:1" s="48" customFormat="1" ht="16.5" x14ac:dyDescent="0.3">
      <c r="A1085" s="47"/>
    </row>
    <row r="1086" spans="1:1" s="48" customFormat="1" ht="16.5" x14ac:dyDescent="0.3">
      <c r="A1086" s="47"/>
    </row>
    <row r="1087" spans="1:1" s="48" customFormat="1" ht="16.5" x14ac:dyDescent="0.3">
      <c r="A1087" s="47"/>
    </row>
    <row r="1088" spans="1:1" s="48" customFormat="1" ht="16.5" x14ac:dyDescent="0.3">
      <c r="A1088" s="47"/>
    </row>
    <row r="1089" spans="1:1" s="48" customFormat="1" ht="16.5" x14ac:dyDescent="0.3">
      <c r="A1089" s="47"/>
    </row>
    <row r="1090" spans="1:1" s="48" customFormat="1" ht="16.5" x14ac:dyDescent="0.3">
      <c r="A1090" s="47"/>
    </row>
    <row r="1091" spans="1:1" s="48" customFormat="1" ht="16.5" x14ac:dyDescent="0.3">
      <c r="A1091" s="47"/>
    </row>
    <row r="1092" spans="1:1" s="48" customFormat="1" ht="16.5" x14ac:dyDescent="0.3">
      <c r="A1092" s="47"/>
    </row>
    <row r="1093" spans="1:1" s="48" customFormat="1" ht="16.5" x14ac:dyDescent="0.3">
      <c r="A1093" s="47"/>
    </row>
    <row r="1094" spans="1:1" s="48" customFormat="1" ht="16.5" x14ac:dyDescent="0.3">
      <c r="A1094" s="47"/>
    </row>
    <row r="1095" spans="1:1" s="48" customFormat="1" ht="16.5" x14ac:dyDescent="0.3">
      <c r="A1095" s="47"/>
    </row>
    <row r="1096" spans="1:1" s="48" customFormat="1" ht="16.5" x14ac:dyDescent="0.3">
      <c r="A1096" s="47"/>
    </row>
    <row r="1097" spans="1:1" s="48" customFormat="1" ht="16.5" x14ac:dyDescent="0.3">
      <c r="A1097" s="47"/>
    </row>
    <row r="1098" spans="1:1" s="48" customFormat="1" ht="16.5" x14ac:dyDescent="0.3">
      <c r="A1098" s="47"/>
    </row>
    <row r="1099" spans="1:1" s="48" customFormat="1" ht="16.5" x14ac:dyDescent="0.3">
      <c r="A1099" s="47"/>
    </row>
    <row r="1100" spans="1:1" s="48" customFormat="1" ht="16.5" x14ac:dyDescent="0.3">
      <c r="A1100" s="47"/>
    </row>
    <row r="1101" spans="1:1" s="48" customFormat="1" ht="16.5" x14ac:dyDescent="0.3">
      <c r="A1101" s="47"/>
    </row>
    <row r="1102" spans="1:1" s="48" customFormat="1" ht="16.5" x14ac:dyDescent="0.3">
      <c r="A1102" s="47"/>
    </row>
    <row r="1103" spans="1:1" s="48" customFormat="1" ht="16.5" x14ac:dyDescent="0.3">
      <c r="A1103" s="47"/>
    </row>
    <row r="1104" spans="1:1" s="48" customFormat="1" ht="16.5" x14ac:dyDescent="0.3">
      <c r="A1104" s="47"/>
    </row>
    <row r="1105" spans="1:1" s="48" customFormat="1" ht="16.5" x14ac:dyDescent="0.3">
      <c r="A1105" s="47"/>
    </row>
    <row r="1106" spans="1:1" s="48" customFormat="1" ht="16.5" x14ac:dyDescent="0.3">
      <c r="A1106" s="47"/>
    </row>
    <row r="1107" spans="1:1" s="48" customFormat="1" ht="16.5" x14ac:dyDescent="0.3">
      <c r="A1107" s="47"/>
    </row>
    <row r="1108" spans="1:1" s="48" customFormat="1" ht="16.5" x14ac:dyDescent="0.3">
      <c r="A1108" s="47"/>
    </row>
    <row r="1109" spans="1:1" s="48" customFormat="1" ht="16.5" x14ac:dyDescent="0.3">
      <c r="A1109" s="47"/>
    </row>
    <row r="1110" spans="1:1" s="48" customFormat="1" ht="16.5" x14ac:dyDescent="0.3">
      <c r="A1110" s="47"/>
    </row>
    <row r="1111" spans="1:1" s="48" customFormat="1" ht="16.5" x14ac:dyDescent="0.3">
      <c r="A1111" s="47"/>
    </row>
    <row r="1112" spans="1:1" s="48" customFormat="1" ht="16.5" x14ac:dyDescent="0.3">
      <c r="A1112" s="47"/>
    </row>
    <row r="1113" spans="1:1" s="48" customFormat="1" ht="16.5" x14ac:dyDescent="0.3">
      <c r="A1113" s="47"/>
    </row>
    <row r="1114" spans="1:1" s="48" customFormat="1" ht="16.5" x14ac:dyDescent="0.3">
      <c r="A1114" s="47"/>
    </row>
    <row r="1115" spans="1:1" s="48" customFormat="1" ht="16.5" x14ac:dyDescent="0.3">
      <c r="A1115" s="47"/>
    </row>
    <row r="1116" spans="1:1" s="48" customFormat="1" ht="16.5" x14ac:dyDescent="0.3">
      <c r="A1116" s="47"/>
    </row>
    <row r="1117" spans="1:1" s="48" customFormat="1" ht="16.5" x14ac:dyDescent="0.3">
      <c r="A1117" s="47"/>
    </row>
    <row r="1118" spans="1:1" s="48" customFormat="1" ht="16.5" x14ac:dyDescent="0.3">
      <c r="A1118" s="47"/>
    </row>
    <row r="1119" spans="1:1" s="48" customFormat="1" ht="16.5" x14ac:dyDescent="0.3">
      <c r="A1119" s="47"/>
    </row>
    <row r="1120" spans="1:1" s="48" customFormat="1" ht="16.5" x14ac:dyDescent="0.3">
      <c r="A1120" s="47"/>
    </row>
    <row r="1121" spans="1:1" s="48" customFormat="1" ht="16.5" x14ac:dyDescent="0.3">
      <c r="A1121" s="47"/>
    </row>
    <row r="1122" spans="1:1" s="48" customFormat="1" ht="16.5" x14ac:dyDescent="0.3">
      <c r="A1122" s="47"/>
    </row>
    <row r="1123" spans="1:1" s="48" customFormat="1" ht="16.5" x14ac:dyDescent="0.3">
      <c r="A1123" s="47"/>
    </row>
    <row r="1124" spans="1:1" s="48" customFormat="1" ht="16.5" x14ac:dyDescent="0.3">
      <c r="A1124" s="47"/>
    </row>
    <row r="1125" spans="1:1" s="48" customFormat="1" ht="16.5" x14ac:dyDescent="0.3">
      <c r="A1125" s="47"/>
    </row>
    <row r="1126" spans="1:1" s="48" customFormat="1" ht="16.5" x14ac:dyDescent="0.3">
      <c r="A1126" s="47"/>
    </row>
    <row r="1127" spans="1:1" s="48" customFormat="1" ht="16.5" x14ac:dyDescent="0.3">
      <c r="A1127" s="47"/>
    </row>
    <row r="1128" spans="1:1" s="48" customFormat="1" ht="16.5" x14ac:dyDescent="0.3">
      <c r="A1128" s="47"/>
    </row>
    <row r="1129" spans="1:1" s="48" customFormat="1" ht="16.5" x14ac:dyDescent="0.3">
      <c r="A1129" s="47"/>
    </row>
    <row r="1130" spans="1:1" s="48" customFormat="1" ht="16.5" x14ac:dyDescent="0.3">
      <c r="A1130" s="47"/>
    </row>
    <row r="1131" spans="1:1" s="48" customFormat="1" ht="16.5" x14ac:dyDescent="0.3">
      <c r="A1131" s="47"/>
    </row>
    <row r="1132" spans="1:1" s="48" customFormat="1" ht="16.5" x14ac:dyDescent="0.3">
      <c r="A1132" s="47"/>
    </row>
    <row r="1133" spans="1:1" s="48" customFormat="1" ht="16.5" x14ac:dyDescent="0.3">
      <c r="A1133" s="47"/>
    </row>
    <row r="1134" spans="1:1" s="48" customFormat="1" ht="16.5" x14ac:dyDescent="0.3">
      <c r="A1134" s="47"/>
    </row>
    <row r="1135" spans="1:1" s="48" customFormat="1" ht="16.5" x14ac:dyDescent="0.3">
      <c r="A1135" s="47"/>
    </row>
    <row r="1136" spans="1:1" s="48" customFormat="1" ht="16.5" x14ac:dyDescent="0.3">
      <c r="A1136" s="47"/>
    </row>
    <row r="1137" spans="1:1" s="48" customFormat="1" ht="16.5" x14ac:dyDescent="0.3">
      <c r="A1137" s="47"/>
    </row>
    <row r="1138" spans="1:1" s="48" customFormat="1" ht="16.5" x14ac:dyDescent="0.3">
      <c r="A1138" s="47"/>
    </row>
    <row r="1139" spans="1:1" s="48" customFormat="1" ht="16.5" x14ac:dyDescent="0.3">
      <c r="A1139" s="47"/>
    </row>
    <row r="1140" spans="1:1" s="48" customFormat="1" ht="16.5" x14ac:dyDescent="0.3">
      <c r="A1140" s="47"/>
    </row>
    <row r="1141" spans="1:1" s="48" customFormat="1" ht="16.5" x14ac:dyDescent="0.3">
      <c r="A1141" s="47"/>
    </row>
    <row r="1142" spans="1:1" s="48" customFormat="1" ht="16.5" x14ac:dyDescent="0.3">
      <c r="A1142" s="47"/>
    </row>
    <row r="1143" spans="1:1" s="48" customFormat="1" ht="16.5" x14ac:dyDescent="0.3">
      <c r="A1143" s="47"/>
    </row>
    <row r="1144" spans="1:1" s="48" customFormat="1" ht="16.5" x14ac:dyDescent="0.3">
      <c r="A1144" s="47"/>
    </row>
    <row r="1145" spans="1:1" s="48" customFormat="1" ht="16.5" x14ac:dyDescent="0.3">
      <c r="A1145" s="47"/>
    </row>
    <row r="1146" spans="1:1" s="48" customFormat="1" ht="16.5" x14ac:dyDescent="0.3">
      <c r="A1146" s="47"/>
    </row>
    <row r="1147" spans="1:1" s="48" customFormat="1" ht="16.5" x14ac:dyDescent="0.3">
      <c r="A1147" s="47"/>
    </row>
    <row r="1148" spans="1:1" s="48" customFormat="1" ht="16.5" x14ac:dyDescent="0.3">
      <c r="A1148" s="47"/>
    </row>
    <row r="1149" spans="1:1" s="48" customFormat="1" ht="16.5" x14ac:dyDescent="0.3">
      <c r="A1149" s="47"/>
    </row>
    <row r="1150" spans="1:1" s="48" customFormat="1" ht="16.5" x14ac:dyDescent="0.3">
      <c r="A1150" s="47"/>
    </row>
    <row r="1151" spans="1:1" s="48" customFormat="1" ht="16.5" x14ac:dyDescent="0.3">
      <c r="A1151" s="47"/>
    </row>
    <row r="1152" spans="1:1" s="48" customFormat="1" ht="16.5" x14ac:dyDescent="0.3">
      <c r="A1152" s="47"/>
    </row>
    <row r="1153" spans="1:1" s="48" customFormat="1" ht="16.5" x14ac:dyDescent="0.3">
      <c r="A1153" s="47"/>
    </row>
    <row r="1154" spans="1:1" s="48" customFormat="1" ht="16.5" x14ac:dyDescent="0.3">
      <c r="A1154" s="47"/>
    </row>
    <row r="1155" spans="1:1" s="48" customFormat="1" ht="16.5" x14ac:dyDescent="0.3">
      <c r="A1155" s="47"/>
    </row>
    <row r="1156" spans="1:1" s="48" customFormat="1" ht="16.5" x14ac:dyDescent="0.3">
      <c r="A1156" s="47"/>
    </row>
    <row r="1157" spans="1:1" s="48" customFormat="1" ht="16.5" x14ac:dyDescent="0.3">
      <c r="A1157" s="47"/>
    </row>
    <row r="1158" spans="1:1" s="48" customFormat="1" ht="16.5" x14ac:dyDescent="0.3">
      <c r="A1158" s="47"/>
    </row>
    <row r="1159" spans="1:1" s="48" customFormat="1" ht="16.5" x14ac:dyDescent="0.3">
      <c r="A1159" s="47"/>
    </row>
    <row r="1160" spans="1:1" s="48" customFormat="1" ht="16.5" x14ac:dyDescent="0.3">
      <c r="A1160" s="47"/>
    </row>
    <row r="1161" spans="1:1" s="48" customFormat="1" ht="16.5" x14ac:dyDescent="0.3">
      <c r="A1161" s="47"/>
    </row>
    <row r="1162" spans="1:1" s="48" customFormat="1" ht="16.5" x14ac:dyDescent="0.3">
      <c r="A1162" s="47"/>
    </row>
    <row r="1163" spans="1:1" s="48" customFormat="1" ht="16.5" x14ac:dyDescent="0.3">
      <c r="A1163" s="47"/>
    </row>
    <row r="1164" spans="1:1" s="48" customFormat="1" ht="16.5" x14ac:dyDescent="0.3">
      <c r="A1164" s="47"/>
    </row>
    <row r="1165" spans="1:1" s="48" customFormat="1" ht="16.5" x14ac:dyDescent="0.3">
      <c r="A1165" s="47"/>
    </row>
    <row r="1166" spans="1:1" s="48" customFormat="1" ht="16.5" x14ac:dyDescent="0.3">
      <c r="A1166" s="47"/>
    </row>
    <row r="1167" spans="1:1" s="48" customFormat="1" ht="16.5" x14ac:dyDescent="0.3">
      <c r="A1167" s="47"/>
    </row>
    <row r="1168" spans="1:1" s="48" customFormat="1" ht="16.5" x14ac:dyDescent="0.3">
      <c r="A1168" s="47"/>
    </row>
    <row r="1169" spans="1:1" s="48" customFormat="1" ht="16.5" x14ac:dyDescent="0.3">
      <c r="A1169" s="47"/>
    </row>
    <row r="1170" spans="1:1" s="48" customFormat="1" ht="16.5" x14ac:dyDescent="0.3">
      <c r="A1170" s="47"/>
    </row>
    <row r="1171" spans="1:1" s="48" customFormat="1" ht="16.5" x14ac:dyDescent="0.3">
      <c r="A1171" s="47"/>
    </row>
    <row r="1172" spans="1:1" s="48" customFormat="1" ht="16.5" x14ac:dyDescent="0.3">
      <c r="A1172" s="47"/>
    </row>
    <row r="1173" spans="1:1" s="48" customFormat="1" ht="16.5" x14ac:dyDescent="0.3">
      <c r="A1173" s="47"/>
    </row>
    <row r="1174" spans="1:1" s="48" customFormat="1" ht="16.5" x14ac:dyDescent="0.3">
      <c r="A1174" s="47"/>
    </row>
    <row r="1175" spans="1:1" s="48" customFormat="1" ht="16.5" x14ac:dyDescent="0.3">
      <c r="A1175" s="47"/>
    </row>
    <row r="1176" spans="1:1" s="48" customFormat="1" ht="16.5" x14ac:dyDescent="0.3">
      <c r="A1176" s="47"/>
    </row>
    <row r="1177" spans="1:1" s="48" customFormat="1" ht="16.5" x14ac:dyDescent="0.3">
      <c r="A1177" s="47"/>
    </row>
    <row r="1178" spans="1:1" s="48" customFormat="1" ht="16.5" x14ac:dyDescent="0.3">
      <c r="A1178" s="47"/>
    </row>
    <row r="1179" spans="1:1" s="48" customFormat="1" ht="16.5" x14ac:dyDescent="0.3">
      <c r="A1179" s="47"/>
    </row>
    <row r="1180" spans="1:1" s="48" customFormat="1" ht="16.5" x14ac:dyDescent="0.3">
      <c r="A1180" s="47"/>
    </row>
    <row r="1181" spans="1:1" s="48" customFormat="1" ht="16.5" x14ac:dyDescent="0.3">
      <c r="A1181" s="47"/>
    </row>
    <row r="1182" spans="1:1" s="48" customFormat="1" ht="16.5" x14ac:dyDescent="0.3">
      <c r="A1182" s="47"/>
    </row>
    <row r="1183" spans="1:1" s="48" customFormat="1" ht="16.5" x14ac:dyDescent="0.3">
      <c r="A1183" s="47"/>
    </row>
    <row r="1184" spans="1:1" s="48" customFormat="1" ht="16.5" x14ac:dyDescent="0.3">
      <c r="A1184" s="47"/>
    </row>
    <row r="1185" spans="1:1" s="48" customFormat="1" ht="16.5" x14ac:dyDescent="0.3">
      <c r="A1185" s="47"/>
    </row>
    <row r="1186" spans="1:1" s="48" customFormat="1" ht="16.5" x14ac:dyDescent="0.3">
      <c r="A1186" s="47"/>
    </row>
    <row r="1187" spans="1:1" s="48" customFormat="1" ht="16.5" x14ac:dyDescent="0.3">
      <c r="A1187" s="47"/>
    </row>
    <row r="1188" spans="1:1" s="48" customFormat="1" ht="16.5" x14ac:dyDescent="0.3">
      <c r="A1188" s="47"/>
    </row>
    <row r="1189" spans="1:1" s="48" customFormat="1" ht="16.5" x14ac:dyDescent="0.3">
      <c r="A1189" s="47"/>
    </row>
    <row r="1190" spans="1:1" s="48" customFormat="1" ht="16.5" x14ac:dyDescent="0.3">
      <c r="A1190" s="47"/>
    </row>
    <row r="1191" spans="1:1" s="48" customFormat="1" ht="16.5" x14ac:dyDescent="0.3">
      <c r="A1191" s="47"/>
    </row>
    <row r="1192" spans="1:1" s="48" customFormat="1" ht="16.5" x14ac:dyDescent="0.3">
      <c r="A1192" s="47"/>
    </row>
    <row r="1193" spans="1:1" s="48" customFormat="1" ht="16.5" x14ac:dyDescent="0.3">
      <c r="A1193" s="47"/>
    </row>
    <row r="1194" spans="1:1" s="48" customFormat="1" ht="16.5" x14ac:dyDescent="0.3">
      <c r="A1194" s="47"/>
    </row>
    <row r="1195" spans="1:1" s="48" customFormat="1" ht="16.5" x14ac:dyDescent="0.3">
      <c r="A1195" s="47"/>
    </row>
    <row r="1196" spans="1:1" s="48" customFormat="1" ht="16.5" x14ac:dyDescent="0.3">
      <c r="A1196" s="47"/>
    </row>
    <row r="1197" spans="1:1" s="48" customFormat="1" ht="16.5" x14ac:dyDescent="0.3">
      <c r="A1197" s="47"/>
    </row>
    <row r="1198" spans="1:1" s="48" customFormat="1" ht="16.5" x14ac:dyDescent="0.3">
      <c r="A1198" s="47"/>
    </row>
    <row r="1199" spans="1:1" s="48" customFormat="1" ht="16.5" x14ac:dyDescent="0.3">
      <c r="A1199" s="47"/>
    </row>
    <row r="1200" spans="1:1" s="48" customFormat="1" ht="16.5" x14ac:dyDescent="0.3">
      <c r="A1200" s="47"/>
    </row>
    <row r="1201" spans="1:1" s="48" customFormat="1" ht="16.5" x14ac:dyDescent="0.3">
      <c r="A1201" s="47"/>
    </row>
    <row r="1202" spans="1:1" s="48" customFormat="1" ht="16.5" x14ac:dyDescent="0.3">
      <c r="A1202" s="47"/>
    </row>
    <row r="1203" spans="1:1" s="48" customFormat="1" ht="16.5" x14ac:dyDescent="0.3">
      <c r="A1203" s="47"/>
    </row>
    <row r="1204" spans="1:1" s="48" customFormat="1" ht="16.5" x14ac:dyDescent="0.3">
      <c r="A1204" s="47"/>
    </row>
    <row r="1205" spans="1:1" s="48" customFormat="1" ht="16.5" x14ac:dyDescent="0.3">
      <c r="A1205" s="47"/>
    </row>
    <row r="1206" spans="1:1" s="48" customFormat="1" ht="16.5" x14ac:dyDescent="0.3">
      <c r="A1206" s="47"/>
    </row>
    <row r="1207" spans="1:1" s="48" customFormat="1" ht="16.5" x14ac:dyDescent="0.3">
      <c r="A1207" s="47"/>
    </row>
    <row r="1208" spans="1:1" s="48" customFormat="1" ht="16.5" x14ac:dyDescent="0.3">
      <c r="A1208" s="47"/>
    </row>
    <row r="1209" spans="1:1" s="48" customFormat="1" ht="16.5" x14ac:dyDescent="0.3">
      <c r="A1209" s="47"/>
    </row>
    <row r="1210" spans="1:1" s="48" customFormat="1" ht="16.5" x14ac:dyDescent="0.3">
      <c r="A1210" s="47"/>
    </row>
    <row r="1211" spans="1:1" s="48" customFormat="1" ht="16.5" x14ac:dyDescent="0.3">
      <c r="A1211" s="47"/>
    </row>
    <row r="1212" spans="1:1" s="48" customFormat="1" ht="16.5" x14ac:dyDescent="0.3">
      <c r="A1212" s="47"/>
    </row>
    <row r="1213" spans="1:1" s="48" customFormat="1" ht="16.5" x14ac:dyDescent="0.3">
      <c r="A1213" s="47"/>
    </row>
    <row r="1214" spans="1:1" s="48" customFormat="1" ht="16.5" x14ac:dyDescent="0.3">
      <c r="A1214" s="47"/>
    </row>
    <row r="1215" spans="1:1" s="48" customFormat="1" ht="16.5" x14ac:dyDescent="0.3">
      <c r="A1215" s="47"/>
    </row>
    <row r="1216" spans="1:1" s="48" customFormat="1" ht="16.5" x14ac:dyDescent="0.3">
      <c r="A1216" s="47"/>
    </row>
    <row r="1217" spans="1:1" s="48" customFormat="1" ht="16.5" x14ac:dyDescent="0.3">
      <c r="A1217" s="47"/>
    </row>
    <row r="1218" spans="1:1" s="48" customFormat="1" ht="16.5" x14ac:dyDescent="0.3">
      <c r="A1218" s="47"/>
    </row>
    <row r="1219" spans="1:1" s="48" customFormat="1" ht="16.5" x14ac:dyDescent="0.3">
      <c r="A1219" s="47"/>
    </row>
    <row r="1220" spans="1:1" s="48" customFormat="1" ht="16.5" x14ac:dyDescent="0.3">
      <c r="A1220" s="47"/>
    </row>
    <row r="1221" spans="1:1" s="48" customFormat="1" ht="16.5" x14ac:dyDescent="0.3">
      <c r="A1221" s="47"/>
    </row>
    <row r="1222" spans="1:1" s="48" customFormat="1" ht="16.5" x14ac:dyDescent="0.3">
      <c r="A1222" s="47"/>
    </row>
    <row r="1223" spans="1:1" s="48" customFormat="1" ht="16.5" x14ac:dyDescent="0.3">
      <c r="A1223" s="47"/>
    </row>
    <row r="1224" spans="1:1" s="48" customFormat="1" ht="16.5" x14ac:dyDescent="0.3">
      <c r="A1224" s="47"/>
    </row>
    <row r="1225" spans="1:1" s="48" customFormat="1" ht="16.5" x14ac:dyDescent="0.3">
      <c r="A1225" s="47"/>
    </row>
    <row r="1226" spans="1:1" s="48" customFormat="1" ht="16.5" x14ac:dyDescent="0.3">
      <c r="A1226" s="47"/>
    </row>
    <row r="1227" spans="1:1" s="48" customFormat="1" ht="16.5" x14ac:dyDescent="0.3">
      <c r="A1227" s="47"/>
    </row>
    <row r="1228" spans="1:1" s="48" customFormat="1" ht="16.5" x14ac:dyDescent="0.3">
      <c r="A1228" s="47"/>
    </row>
    <row r="1229" spans="1:1" s="48" customFormat="1" ht="16.5" x14ac:dyDescent="0.3">
      <c r="A1229" s="47"/>
    </row>
    <row r="1230" spans="1:1" s="48" customFormat="1" ht="16.5" x14ac:dyDescent="0.3">
      <c r="A1230" s="47"/>
    </row>
    <row r="1231" spans="1:1" s="48" customFormat="1" ht="16.5" x14ac:dyDescent="0.3">
      <c r="A1231" s="47"/>
    </row>
    <row r="1232" spans="1:1" s="48" customFormat="1" ht="16.5" x14ac:dyDescent="0.3">
      <c r="A1232" s="47"/>
    </row>
    <row r="1233" spans="1:1" s="48" customFormat="1" ht="16.5" x14ac:dyDescent="0.3">
      <c r="A1233" s="47"/>
    </row>
    <row r="1234" spans="1:1" s="48" customFormat="1" ht="16.5" x14ac:dyDescent="0.3">
      <c r="A1234" s="47"/>
    </row>
    <row r="1235" spans="1:1" s="48" customFormat="1" ht="16.5" x14ac:dyDescent="0.3">
      <c r="A1235" s="47"/>
    </row>
    <row r="1236" spans="1:1" s="48" customFormat="1" ht="16.5" x14ac:dyDescent="0.3">
      <c r="A1236" s="47"/>
    </row>
    <row r="1237" spans="1:1" s="48" customFormat="1" ht="16.5" x14ac:dyDescent="0.3">
      <c r="A1237" s="47"/>
    </row>
    <row r="1238" spans="1:1" s="48" customFormat="1" ht="16.5" x14ac:dyDescent="0.3">
      <c r="A1238" s="47"/>
    </row>
    <row r="1239" spans="1:1" s="48" customFormat="1" ht="16.5" x14ac:dyDescent="0.3">
      <c r="A1239" s="47"/>
    </row>
    <row r="1240" spans="1:1" s="48" customFormat="1" ht="16.5" x14ac:dyDescent="0.3">
      <c r="A1240" s="47"/>
    </row>
    <row r="1241" spans="1:1" s="48" customFormat="1" ht="16.5" x14ac:dyDescent="0.3">
      <c r="A1241" s="47"/>
    </row>
    <row r="1242" spans="1:1" s="48" customFormat="1" ht="16.5" x14ac:dyDescent="0.3">
      <c r="A1242" s="47"/>
    </row>
    <row r="1243" spans="1:1" s="48" customFormat="1" ht="16.5" x14ac:dyDescent="0.3">
      <c r="A1243" s="47"/>
    </row>
    <row r="1244" spans="1:1" s="48" customFormat="1" ht="16.5" x14ac:dyDescent="0.3">
      <c r="A1244" s="47"/>
    </row>
    <row r="1245" spans="1:1" s="48" customFormat="1" ht="16.5" x14ac:dyDescent="0.3">
      <c r="A1245" s="47"/>
    </row>
    <row r="1246" spans="1:1" s="48" customFormat="1" ht="16.5" x14ac:dyDescent="0.3">
      <c r="A1246" s="47"/>
    </row>
    <row r="1247" spans="1:1" s="48" customFormat="1" ht="16.5" x14ac:dyDescent="0.3">
      <c r="A1247" s="47"/>
    </row>
    <row r="1248" spans="1:1" s="48" customFormat="1" ht="16.5" x14ac:dyDescent="0.3">
      <c r="A1248" s="47"/>
    </row>
    <row r="1249" spans="1:1" s="48" customFormat="1" ht="16.5" x14ac:dyDescent="0.3">
      <c r="A1249" s="47"/>
    </row>
    <row r="1250" spans="1:1" s="48" customFormat="1" ht="16.5" x14ac:dyDescent="0.3">
      <c r="A1250" s="47"/>
    </row>
    <row r="1251" spans="1:1" s="48" customFormat="1" ht="16.5" x14ac:dyDescent="0.3">
      <c r="A1251" s="47"/>
    </row>
    <row r="1252" spans="1:1" s="48" customFormat="1" ht="16.5" x14ac:dyDescent="0.3">
      <c r="A1252" s="47"/>
    </row>
    <row r="1253" spans="1:1" s="48" customFormat="1" ht="16.5" x14ac:dyDescent="0.3">
      <c r="A1253" s="47"/>
    </row>
    <row r="1254" spans="1:1" s="48" customFormat="1" ht="16.5" x14ac:dyDescent="0.3">
      <c r="A1254" s="47"/>
    </row>
    <row r="1255" spans="1:1" s="48" customFormat="1" ht="16.5" x14ac:dyDescent="0.3">
      <c r="A1255" s="47"/>
    </row>
    <row r="1256" spans="1:1" s="48" customFormat="1" ht="16.5" x14ac:dyDescent="0.3">
      <c r="A1256" s="47"/>
    </row>
    <row r="1257" spans="1:1" s="48" customFormat="1" ht="16.5" x14ac:dyDescent="0.3">
      <c r="A1257" s="47"/>
    </row>
    <row r="1258" spans="1:1" s="48" customFormat="1" ht="16.5" x14ac:dyDescent="0.3">
      <c r="A1258" s="47"/>
    </row>
    <row r="1259" spans="1:1" s="48" customFormat="1" ht="16.5" x14ac:dyDescent="0.3">
      <c r="A1259" s="47"/>
    </row>
    <row r="1260" spans="1:1" s="48" customFormat="1" ht="16.5" x14ac:dyDescent="0.3">
      <c r="A1260" s="47"/>
    </row>
    <row r="1261" spans="1:1" s="48" customFormat="1" ht="16.5" x14ac:dyDescent="0.3">
      <c r="A1261" s="47"/>
    </row>
    <row r="1262" spans="1:1" s="48" customFormat="1" ht="16.5" x14ac:dyDescent="0.3">
      <c r="A1262" s="47"/>
    </row>
    <row r="1263" spans="1:1" s="48" customFormat="1" ht="16.5" x14ac:dyDescent="0.3">
      <c r="A1263" s="47"/>
    </row>
    <row r="1264" spans="1:1" s="48" customFormat="1" ht="16.5" x14ac:dyDescent="0.3">
      <c r="A1264" s="47"/>
    </row>
    <row r="1265" spans="1:1" s="48" customFormat="1" ht="16.5" x14ac:dyDescent="0.3">
      <c r="A1265" s="47"/>
    </row>
    <row r="1266" spans="1:1" s="48" customFormat="1" ht="16.5" x14ac:dyDescent="0.3">
      <c r="A1266" s="47"/>
    </row>
    <row r="1267" spans="1:1" s="48" customFormat="1" ht="16.5" x14ac:dyDescent="0.3">
      <c r="A1267" s="47"/>
    </row>
    <row r="1268" spans="1:1" s="48" customFormat="1" ht="16.5" x14ac:dyDescent="0.3">
      <c r="A1268" s="47"/>
    </row>
    <row r="1269" spans="1:1" s="48" customFormat="1" ht="16.5" x14ac:dyDescent="0.3">
      <c r="A1269" s="47"/>
    </row>
    <row r="1270" spans="1:1" s="48" customFormat="1" ht="16.5" x14ac:dyDescent="0.3">
      <c r="A1270" s="47"/>
    </row>
    <row r="1271" spans="1:1" s="48" customFormat="1" ht="16.5" x14ac:dyDescent="0.3">
      <c r="A1271" s="47"/>
    </row>
    <row r="1272" spans="1:1" s="48" customFormat="1" ht="16.5" x14ac:dyDescent="0.3">
      <c r="A1272" s="47"/>
    </row>
    <row r="1273" spans="1:1" s="48" customFormat="1" ht="16.5" x14ac:dyDescent="0.3">
      <c r="A1273" s="47"/>
    </row>
    <row r="1274" spans="1:1" s="48" customFormat="1" ht="16.5" x14ac:dyDescent="0.3">
      <c r="A1274" s="47"/>
    </row>
    <row r="1275" spans="1:1" s="48" customFormat="1" ht="16.5" x14ac:dyDescent="0.3">
      <c r="A1275" s="47"/>
    </row>
    <row r="1276" spans="1:1" s="48" customFormat="1" ht="16.5" x14ac:dyDescent="0.3">
      <c r="A1276" s="47"/>
    </row>
    <row r="1277" spans="1:1" s="48" customFormat="1" ht="16.5" x14ac:dyDescent="0.3">
      <c r="A1277" s="47"/>
    </row>
    <row r="1278" spans="1:1" s="48" customFormat="1" ht="16.5" x14ac:dyDescent="0.3">
      <c r="A1278" s="47"/>
    </row>
    <row r="1279" spans="1:1" s="48" customFormat="1" ht="16.5" x14ac:dyDescent="0.3">
      <c r="A1279" s="47"/>
    </row>
    <row r="1280" spans="1:1" s="48" customFormat="1" ht="16.5" x14ac:dyDescent="0.3">
      <c r="A1280" s="47"/>
    </row>
    <row r="1281" spans="1:1" s="48" customFormat="1" ht="16.5" x14ac:dyDescent="0.3">
      <c r="A1281" s="47"/>
    </row>
    <row r="1282" spans="1:1" s="48" customFormat="1" ht="16.5" x14ac:dyDescent="0.3">
      <c r="A1282" s="47"/>
    </row>
    <row r="1283" spans="1:1" s="48" customFormat="1" ht="16.5" x14ac:dyDescent="0.3">
      <c r="A1283" s="47"/>
    </row>
    <row r="1284" spans="1:1" s="48" customFormat="1" ht="16.5" x14ac:dyDescent="0.3">
      <c r="A1284" s="47"/>
    </row>
    <row r="1285" spans="1:1" s="48" customFormat="1" ht="16.5" x14ac:dyDescent="0.3">
      <c r="A1285" s="47"/>
    </row>
    <row r="1286" spans="1:1" s="48" customFormat="1" ht="16.5" x14ac:dyDescent="0.3">
      <c r="A1286" s="47"/>
    </row>
    <row r="1287" spans="1:1" s="48" customFormat="1" ht="16.5" x14ac:dyDescent="0.3">
      <c r="A1287" s="47"/>
    </row>
    <row r="1288" spans="1:1" s="48" customFormat="1" ht="16.5" x14ac:dyDescent="0.3">
      <c r="A1288" s="47"/>
    </row>
    <row r="1289" spans="1:1" s="48" customFormat="1" ht="16.5" x14ac:dyDescent="0.3">
      <c r="A1289" s="47"/>
    </row>
    <row r="1290" spans="1:1" s="48" customFormat="1" ht="16.5" x14ac:dyDescent="0.3">
      <c r="A1290" s="47"/>
    </row>
    <row r="1291" spans="1:1" s="48" customFormat="1" ht="16.5" x14ac:dyDescent="0.3">
      <c r="A1291" s="47"/>
    </row>
    <row r="1292" spans="1:1" s="48" customFormat="1" ht="16.5" x14ac:dyDescent="0.3">
      <c r="A1292" s="47"/>
    </row>
    <row r="1293" spans="1:1" s="48" customFormat="1" ht="16.5" x14ac:dyDescent="0.3">
      <c r="A1293" s="47"/>
    </row>
    <row r="1294" spans="1:1" s="48" customFormat="1" ht="16.5" x14ac:dyDescent="0.3">
      <c r="A1294" s="47"/>
    </row>
    <row r="1295" spans="1:1" s="48" customFormat="1" ht="16.5" x14ac:dyDescent="0.3">
      <c r="A1295" s="47"/>
    </row>
    <row r="1296" spans="1:1" s="48" customFormat="1" ht="16.5" x14ac:dyDescent="0.3">
      <c r="A1296" s="47"/>
    </row>
    <row r="1297" spans="1:1" s="48" customFormat="1" ht="16.5" x14ac:dyDescent="0.3">
      <c r="A1297" s="47"/>
    </row>
    <row r="1298" spans="1:1" s="48" customFormat="1" ht="16.5" x14ac:dyDescent="0.3">
      <c r="A1298" s="47"/>
    </row>
    <row r="1299" spans="1:1" s="48" customFormat="1" ht="16.5" x14ac:dyDescent="0.3">
      <c r="A1299" s="47"/>
    </row>
    <row r="1300" spans="1:1" s="48" customFormat="1" ht="16.5" x14ac:dyDescent="0.3">
      <c r="A1300" s="47"/>
    </row>
    <row r="1301" spans="1:1" s="48" customFormat="1" ht="16.5" x14ac:dyDescent="0.3">
      <c r="A1301" s="47"/>
    </row>
    <row r="1302" spans="1:1" s="48" customFormat="1" ht="16.5" x14ac:dyDescent="0.3">
      <c r="A1302" s="47"/>
    </row>
    <row r="1303" spans="1:1" s="48" customFormat="1" ht="16.5" x14ac:dyDescent="0.3">
      <c r="A1303" s="47"/>
    </row>
    <row r="1304" spans="1:1" s="48" customFormat="1" ht="16.5" x14ac:dyDescent="0.3">
      <c r="A1304" s="47"/>
    </row>
    <row r="1305" spans="1:1" s="48" customFormat="1" ht="16.5" x14ac:dyDescent="0.3">
      <c r="A1305" s="47"/>
    </row>
    <row r="1306" spans="1:1" s="48" customFormat="1" ht="16.5" x14ac:dyDescent="0.3">
      <c r="A1306" s="47"/>
    </row>
    <row r="1307" spans="1:1" s="48" customFormat="1" ht="16.5" x14ac:dyDescent="0.3">
      <c r="A1307" s="47"/>
    </row>
    <row r="1308" spans="1:1" s="48" customFormat="1" ht="16.5" x14ac:dyDescent="0.3">
      <c r="A1308" s="47"/>
    </row>
    <row r="1309" spans="1:1" s="48" customFormat="1" ht="16.5" x14ac:dyDescent="0.3">
      <c r="A1309" s="47"/>
    </row>
    <row r="1310" spans="1:1" s="48" customFormat="1" ht="16.5" x14ac:dyDescent="0.3">
      <c r="A1310" s="47"/>
    </row>
    <row r="1311" spans="1:1" s="48" customFormat="1" ht="16.5" x14ac:dyDescent="0.3">
      <c r="A1311" s="47"/>
    </row>
    <row r="1312" spans="1:1" s="48" customFormat="1" ht="16.5" x14ac:dyDescent="0.3">
      <c r="A1312" s="47"/>
    </row>
    <row r="1313" spans="1:1" s="48" customFormat="1" ht="16.5" x14ac:dyDescent="0.3">
      <c r="A1313" s="47"/>
    </row>
    <row r="1314" spans="1:1" s="48" customFormat="1" ht="16.5" x14ac:dyDescent="0.3">
      <c r="A1314" s="47"/>
    </row>
    <row r="1315" spans="1:1" s="48" customFormat="1" ht="16.5" x14ac:dyDescent="0.3">
      <c r="A1315" s="47"/>
    </row>
    <row r="1316" spans="1:1" s="48" customFormat="1" ht="16.5" x14ac:dyDescent="0.3">
      <c r="A1316" s="47"/>
    </row>
    <row r="1317" spans="1:1" s="48" customFormat="1" ht="16.5" x14ac:dyDescent="0.3">
      <c r="A1317" s="47"/>
    </row>
    <row r="1318" spans="1:1" s="48" customFormat="1" ht="16.5" x14ac:dyDescent="0.3">
      <c r="A1318" s="47"/>
    </row>
    <row r="1319" spans="1:1" s="48" customFormat="1" ht="16.5" x14ac:dyDescent="0.3">
      <c r="A1319" s="47"/>
    </row>
    <row r="1320" spans="1:1" s="48" customFormat="1" ht="16.5" x14ac:dyDescent="0.3">
      <c r="A1320" s="47"/>
    </row>
    <row r="1321" spans="1:1" s="48" customFormat="1" ht="16.5" x14ac:dyDescent="0.3">
      <c r="A1321" s="47"/>
    </row>
    <row r="1322" spans="1:1" s="48" customFormat="1" ht="16.5" x14ac:dyDescent="0.3">
      <c r="A1322" s="47"/>
    </row>
    <row r="1323" spans="1:1" s="48" customFormat="1" ht="16.5" x14ac:dyDescent="0.3">
      <c r="A1323" s="47"/>
    </row>
    <row r="1324" spans="1:1" s="48" customFormat="1" ht="16.5" x14ac:dyDescent="0.3">
      <c r="A1324" s="47"/>
    </row>
    <row r="1325" spans="1:1" s="48" customFormat="1" ht="16.5" x14ac:dyDescent="0.3">
      <c r="A1325" s="47"/>
    </row>
    <row r="1326" spans="1:1" s="48" customFormat="1" ht="16.5" x14ac:dyDescent="0.3">
      <c r="A1326" s="47"/>
    </row>
    <row r="1327" spans="1:1" s="48" customFormat="1" ht="16.5" x14ac:dyDescent="0.3">
      <c r="A1327" s="47"/>
    </row>
    <row r="1328" spans="1:1" s="48" customFormat="1" ht="16.5" x14ac:dyDescent="0.3">
      <c r="A1328" s="47"/>
    </row>
    <row r="1329" spans="1:1" s="48" customFormat="1" ht="16.5" x14ac:dyDescent="0.3">
      <c r="A1329" s="47"/>
    </row>
    <row r="1330" spans="1:1" s="48" customFormat="1" ht="16.5" x14ac:dyDescent="0.3">
      <c r="A1330" s="47"/>
    </row>
    <row r="1331" spans="1:1" s="48" customFormat="1" ht="16.5" x14ac:dyDescent="0.3">
      <c r="A1331" s="47"/>
    </row>
    <row r="1332" spans="1:1" s="48" customFormat="1" ht="16.5" x14ac:dyDescent="0.3">
      <c r="A1332" s="47"/>
    </row>
    <row r="1333" spans="1:1" s="48" customFormat="1" ht="16.5" x14ac:dyDescent="0.3">
      <c r="A1333" s="47"/>
    </row>
    <row r="1334" spans="1:1" s="48" customFormat="1" ht="16.5" x14ac:dyDescent="0.3">
      <c r="A1334" s="47"/>
    </row>
    <row r="1335" spans="1:1" s="48" customFormat="1" ht="16.5" x14ac:dyDescent="0.3">
      <c r="A1335" s="47"/>
    </row>
    <row r="1336" spans="1:1" s="48" customFormat="1" ht="16.5" x14ac:dyDescent="0.3">
      <c r="A1336" s="47"/>
    </row>
    <row r="1337" spans="1:1" s="48" customFormat="1" ht="16.5" x14ac:dyDescent="0.3">
      <c r="A1337" s="47"/>
    </row>
    <row r="1338" spans="1:1" s="48" customFormat="1" ht="16.5" x14ac:dyDescent="0.3">
      <c r="A1338" s="47"/>
    </row>
    <row r="1339" spans="1:1" s="48" customFormat="1" ht="16.5" x14ac:dyDescent="0.3">
      <c r="A1339" s="47"/>
    </row>
    <row r="1340" spans="1:1" s="48" customFormat="1" ht="16.5" x14ac:dyDescent="0.3">
      <c r="A1340" s="47"/>
    </row>
    <row r="1341" spans="1:1" s="48" customFormat="1" ht="16.5" x14ac:dyDescent="0.3">
      <c r="A1341" s="47"/>
    </row>
    <row r="1342" spans="1:1" s="48" customFormat="1" ht="16.5" x14ac:dyDescent="0.3">
      <c r="A1342" s="47"/>
    </row>
    <row r="1343" spans="1:1" s="48" customFormat="1" ht="16.5" x14ac:dyDescent="0.3">
      <c r="A1343" s="47"/>
    </row>
    <row r="1344" spans="1:1" s="48" customFormat="1" ht="16.5" x14ac:dyDescent="0.3">
      <c r="A1344" s="47"/>
    </row>
    <row r="1345" spans="1:1" s="48" customFormat="1" ht="16.5" x14ac:dyDescent="0.3">
      <c r="A1345" s="47"/>
    </row>
    <row r="1346" spans="1:1" s="48" customFormat="1" ht="16.5" x14ac:dyDescent="0.3">
      <c r="A1346" s="47"/>
    </row>
    <row r="1347" spans="1:1" s="48" customFormat="1" ht="16.5" x14ac:dyDescent="0.3">
      <c r="A1347" s="47"/>
    </row>
    <row r="1348" spans="1:1" s="48" customFormat="1" ht="16.5" x14ac:dyDescent="0.3">
      <c r="A1348" s="47"/>
    </row>
    <row r="1349" spans="1:1" s="48" customFormat="1" ht="16.5" x14ac:dyDescent="0.3">
      <c r="A1349" s="47"/>
    </row>
    <row r="1350" spans="1:1" s="48" customFormat="1" ht="16.5" x14ac:dyDescent="0.3">
      <c r="A1350" s="47"/>
    </row>
    <row r="1351" spans="1:1" s="48" customFormat="1" ht="16.5" x14ac:dyDescent="0.3">
      <c r="A1351" s="47"/>
    </row>
    <row r="1352" spans="1:1" s="48" customFormat="1" ht="16.5" x14ac:dyDescent="0.3">
      <c r="A1352" s="47"/>
    </row>
    <row r="1353" spans="1:1" s="48" customFormat="1" ht="16.5" x14ac:dyDescent="0.3">
      <c r="A1353" s="47"/>
    </row>
    <row r="1354" spans="1:1" s="48" customFormat="1" ht="16.5" x14ac:dyDescent="0.3">
      <c r="A1354" s="47"/>
    </row>
    <row r="1355" spans="1:1" s="48" customFormat="1" ht="16.5" x14ac:dyDescent="0.3">
      <c r="A1355" s="47"/>
    </row>
    <row r="1356" spans="1:1" s="48" customFormat="1" ht="16.5" x14ac:dyDescent="0.3">
      <c r="A1356" s="47"/>
    </row>
    <row r="1357" spans="1:1" s="48" customFormat="1" ht="16.5" x14ac:dyDescent="0.3">
      <c r="A1357" s="47"/>
    </row>
    <row r="1358" spans="1:1" s="48" customFormat="1" ht="16.5" x14ac:dyDescent="0.3">
      <c r="A1358" s="47"/>
    </row>
    <row r="1359" spans="1:1" s="48" customFormat="1" ht="16.5" x14ac:dyDescent="0.3">
      <c r="A1359" s="47"/>
    </row>
    <row r="1360" spans="1:1" s="48" customFormat="1" ht="16.5" x14ac:dyDescent="0.3">
      <c r="A1360" s="47"/>
    </row>
    <row r="1361" spans="1:1" s="48" customFormat="1" ht="16.5" x14ac:dyDescent="0.3">
      <c r="A1361" s="47"/>
    </row>
    <row r="1362" spans="1:1" s="48" customFormat="1" ht="16.5" x14ac:dyDescent="0.3">
      <c r="A1362" s="47"/>
    </row>
    <row r="1363" spans="1:1" s="48" customFormat="1" ht="16.5" x14ac:dyDescent="0.3">
      <c r="A1363" s="47"/>
    </row>
    <row r="1364" spans="1:1" s="48" customFormat="1" ht="16.5" x14ac:dyDescent="0.3">
      <c r="A1364" s="47"/>
    </row>
    <row r="1365" spans="1:1" s="48" customFormat="1" ht="16.5" x14ac:dyDescent="0.3">
      <c r="A1365" s="47"/>
    </row>
    <row r="1366" spans="1:1" s="48" customFormat="1" ht="16.5" x14ac:dyDescent="0.3">
      <c r="A1366" s="47"/>
    </row>
    <row r="1367" spans="1:1" s="48" customFormat="1" ht="16.5" x14ac:dyDescent="0.3">
      <c r="A1367" s="47"/>
    </row>
    <row r="1368" spans="1:1" s="48" customFormat="1" ht="16.5" x14ac:dyDescent="0.3">
      <c r="A1368" s="47"/>
    </row>
    <row r="1369" spans="1:1" s="48" customFormat="1" ht="16.5" x14ac:dyDescent="0.3">
      <c r="A1369" s="47"/>
    </row>
    <row r="1370" spans="1:1" s="48" customFormat="1" ht="16.5" x14ac:dyDescent="0.3">
      <c r="A1370" s="47"/>
    </row>
    <row r="1371" spans="1:1" s="48" customFormat="1" ht="16.5" x14ac:dyDescent="0.3">
      <c r="A1371" s="47"/>
    </row>
    <row r="1372" spans="1:1" s="48" customFormat="1" ht="16.5" x14ac:dyDescent="0.3">
      <c r="A1372" s="47"/>
    </row>
    <row r="1373" spans="1:1" s="48" customFormat="1" ht="16.5" x14ac:dyDescent="0.3">
      <c r="A1373" s="47"/>
    </row>
    <row r="1374" spans="1:1" s="48" customFormat="1" ht="16.5" x14ac:dyDescent="0.3">
      <c r="A1374" s="47"/>
    </row>
    <row r="1375" spans="1:1" s="48" customFormat="1" ht="16.5" x14ac:dyDescent="0.3">
      <c r="A1375" s="47"/>
    </row>
    <row r="1376" spans="1:1" s="48" customFormat="1" ht="16.5" x14ac:dyDescent="0.3">
      <c r="A1376" s="47"/>
    </row>
    <row r="1377" spans="1:1" s="48" customFormat="1" ht="16.5" x14ac:dyDescent="0.3">
      <c r="A1377" s="47"/>
    </row>
    <row r="1378" spans="1:1" s="48" customFormat="1" ht="16.5" x14ac:dyDescent="0.3">
      <c r="A1378" s="47"/>
    </row>
    <row r="1379" spans="1:1" s="48" customFormat="1" ht="16.5" x14ac:dyDescent="0.3">
      <c r="A1379" s="47"/>
    </row>
    <row r="1380" spans="1:1" s="48" customFormat="1" ht="16.5" x14ac:dyDescent="0.3">
      <c r="A1380" s="47"/>
    </row>
    <row r="1381" spans="1:1" s="48" customFormat="1" ht="16.5" x14ac:dyDescent="0.3">
      <c r="A1381" s="47"/>
    </row>
    <row r="1382" spans="1:1" s="48" customFormat="1" ht="16.5" x14ac:dyDescent="0.3">
      <c r="A1382" s="47"/>
    </row>
    <row r="1383" spans="1:1" s="48" customFormat="1" ht="16.5" x14ac:dyDescent="0.3">
      <c r="A1383" s="47"/>
    </row>
    <row r="1384" spans="1:1" s="48" customFormat="1" ht="16.5" x14ac:dyDescent="0.3">
      <c r="A1384" s="47"/>
    </row>
    <row r="1385" spans="1:1" s="48" customFormat="1" ht="16.5" x14ac:dyDescent="0.3">
      <c r="A1385" s="47"/>
    </row>
    <row r="1386" spans="1:1" s="48" customFormat="1" ht="16.5" x14ac:dyDescent="0.3">
      <c r="A1386" s="47"/>
    </row>
    <row r="1387" spans="1:1" s="48" customFormat="1" ht="16.5" x14ac:dyDescent="0.3">
      <c r="A1387" s="47"/>
    </row>
    <row r="1388" spans="1:1" s="48" customFormat="1" ht="16.5" x14ac:dyDescent="0.3">
      <c r="A1388" s="47"/>
    </row>
    <row r="1389" spans="1:1" s="48" customFormat="1" ht="16.5" x14ac:dyDescent="0.3">
      <c r="A1389" s="47"/>
    </row>
    <row r="1390" spans="1:1" s="48" customFormat="1" ht="16.5" x14ac:dyDescent="0.3">
      <c r="A1390" s="47"/>
    </row>
    <row r="1391" spans="1:1" s="48" customFormat="1" ht="16.5" x14ac:dyDescent="0.3">
      <c r="A1391" s="47"/>
    </row>
    <row r="1392" spans="1:1" s="48" customFormat="1" ht="16.5" x14ac:dyDescent="0.3">
      <c r="A1392" s="47"/>
    </row>
    <row r="1393" spans="1:1" s="48" customFormat="1" ht="16.5" x14ac:dyDescent="0.3">
      <c r="A1393" s="47"/>
    </row>
    <row r="1394" spans="1:1" s="48" customFormat="1" ht="16.5" x14ac:dyDescent="0.3">
      <c r="A1394" s="47"/>
    </row>
    <row r="1395" spans="1:1" s="48" customFormat="1" ht="16.5" x14ac:dyDescent="0.3">
      <c r="A1395" s="47"/>
    </row>
    <row r="1396" spans="1:1" s="48" customFormat="1" ht="16.5" x14ac:dyDescent="0.3">
      <c r="A1396" s="47"/>
    </row>
    <row r="1397" spans="1:1" s="48" customFormat="1" ht="16.5" x14ac:dyDescent="0.3">
      <c r="A1397" s="47"/>
    </row>
    <row r="1398" spans="1:1" s="48" customFormat="1" ht="16.5" x14ac:dyDescent="0.3">
      <c r="A1398" s="47"/>
    </row>
    <row r="1399" spans="1:1" s="48" customFormat="1" ht="16.5" x14ac:dyDescent="0.3">
      <c r="A1399" s="47"/>
    </row>
    <row r="1400" spans="1:1" s="48" customFormat="1" ht="16.5" x14ac:dyDescent="0.3">
      <c r="A1400" s="47"/>
    </row>
    <row r="1401" spans="1:1" s="48" customFormat="1" ht="16.5" x14ac:dyDescent="0.3">
      <c r="A1401" s="47"/>
    </row>
    <row r="1402" spans="1:1" s="48" customFormat="1" ht="16.5" x14ac:dyDescent="0.3">
      <c r="A1402" s="47"/>
    </row>
    <row r="1403" spans="1:1" s="48" customFormat="1" ht="16.5" x14ac:dyDescent="0.3">
      <c r="A1403" s="47"/>
    </row>
    <row r="1404" spans="1:1" s="48" customFormat="1" ht="16.5" x14ac:dyDescent="0.3">
      <c r="A1404" s="47"/>
    </row>
    <row r="1405" spans="1:1" s="48" customFormat="1" ht="16.5" x14ac:dyDescent="0.3">
      <c r="A1405" s="47"/>
    </row>
    <row r="1406" spans="1:1" s="48" customFormat="1" ht="16.5" x14ac:dyDescent="0.3">
      <c r="A1406" s="47"/>
    </row>
    <row r="1407" spans="1:1" s="48" customFormat="1" ht="16.5" x14ac:dyDescent="0.3">
      <c r="A1407" s="47"/>
    </row>
    <row r="1408" spans="1:1" s="48" customFormat="1" ht="16.5" x14ac:dyDescent="0.3">
      <c r="A1408" s="47"/>
    </row>
    <row r="1409" spans="1:1" s="48" customFormat="1" ht="16.5" x14ac:dyDescent="0.3">
      <c r="A1409" s="47"/>
    </row>
    <row r="1410" spans="1:1" s="48" customFormat="1" ht="16.5" x14ac:dyDescent="0.3">
      <c r="A1410" s="47"/>
    </row>
    <row r="1411" spans="1:1" s="48" customFormat="1" ht="16.5" x14ac:dyDescent="0.3">
      <c r="A1411" s="47"/>
    </row>
    <row r="1412" spans="1:1" s="48" customFormat="1" ht="16.5" x14ac:dyDescent="0.3">
      <c r="A1412" s="47"/>
    </row>
    <row r="1413" spans="1:1" s="48" customFormat="1" ht="16.5" x14ac:dyDescent="0.3">
      <c r="A1413" s="47"/>
    </row>
    <row r="1414" spans="1:1" s="48" customFormat="1" ht="16.5" x14ac:dyDescent="0.3">
      <c r="A1414" s="47"/>
    </row>
    <row r="1415" spans="1:1" s="48" customFormat="1" ht="16.5" x14ac:dyDescent="0.3">
      <c r="A1415" s="47"/>
    </row>
    <row r="1416" spans="1:1" s="48" customFormat="1" ht="16.5" x14ac:dyDescent="0.3">
      <c r="A1416" s="47"/>
    </row>
    <row r="1417" spans="1:1" s="48" customFormat="1" ht="16.5" x14ac:dyDescent="0.3">
      <c r="A1417" s="47"/>
    </row>
    <row r="1418" spans="1:1" s="48" customFormat="1" ht="16.5" x14ac:dyDescent="0.3">
      <c r="A1418" s="47"/>
    </row>
    <row r="1419" spans="1:1" s="48" customFormat="1" ht="16.5" x14ac:dyDescent="0.3">
      <c r="A1419" s="47"/>
    </row>
    <row r="1420" spans="1:1" s="48" customFormat="1" ht="16.5" x14ac:dyDescent="0.3">
      <c r="A1420" s="47"/>
    </row>
    <row r="1421" spans="1:1" s="48" customFormat="1" ht="16.5" x14ac:dyDescent="0.3">
      <c r="A1421" s="47"/>
    </row>
    <row r="1422" spans="1:1" s="48" customFormat="1" ht="16.5" x14ac:dyDescent="0.3">
      <c r="A1422" s="47"/>
    </row>
    <row r="1423" spans="1:1" s="48" customFormat="1" ht="16.5" x14ac:dyDescent="0.3">
      <c r="A1423" s="47"/>
    </row>
    <row r="1424" spans="1:1" s="48" customFormat="1" ht="16.5" x14ac:dyDescent="0.3">
      <c r="A1424" s="47"/>
    </row>
    <row r="1425" spans="1:1" s="48" customFormat="1" ht="16.5" x14ac:dyDescent="0.3">
      <c r="A1425" s="47"/>
    </row>
    <row r="1426" spans="1:1" s="48" customFormat="1" ht="16.5" x14ac:dyDescent="0.3">
      <c r="A1426" s="47"/>
    </row>
    <row r="1427" spans="1:1" s="48" customFormat="1" ht="16.5" x14ac:dyDescent="0.3">
      <c r="A1427" s="47"/>
    </row>
    <row r="1428" spans="1:1" s="48" customFormat="1" ht="16.5" x14ac:dyDescent="0.3">
      <c r="A1428" s="47"/>
    </row>
    <row r="1429" spans="1:1" s="48" customFormat="1" ht="16.5" x14ac:dyDescent="0.3">
      <c r="A1429" s="47"/>
    </row>
    <row r="1430" spans="1:1" s="48" customFormat="1" ht="16.5" x14ac:dyDescent="0.3">
      <c r="A1430" s="47"/>
    </row>
    <row r="1431" spans="1:1" s="48" customFormat="1" ht="16.5" x14ac:dyDescent="0.3">
      <c r="A1431" s="47"/>
    </row>
    <row r="1432" spans="1:1" s="48" customFormat="1" ht="16.5" x14ac:dyDescent="0.3">
      <c r="A1432" s="47"/>
    </row>
    <row r="1433" spans="1:1" s="48" customFormat="1" ht="16.5" x14ac:dyDescent="0.3">
      <c r="A1433" s="47"/>
    </row>
    <row r="1434" spans="1:1" s="48" customFormat="1" ht="16.5" x14ac:dyDescent="0.3">
      <c r="A1434" s="47"/>
    </row>
    <row r="1435" spans="1:1" s="48" customFormat="1" ht="16.5" x14ac:dyDescent="0.3">
      <c r="A1435" s="47"/>
    </row>
    <row r="1436" spans="1:1" s="48" customFormat="1" ht="16.5" x14ac:dyDescent="0.3">
      <c r="A1436" s="47"/>
    </row>
    <row r="1437" spans="1:1" s="48" customFormat="1" ht="16.5" x14ac:dyDescent="0.3">
      <c r="A1437" s="47"/>
    </row>
    <row r="1438" spans="1:1" s="48" customFormat="1" ht="16.5" x14ac:dyDescent="0.3">
      <c r="A1438" s="47"/>
    </row>
    <row r="1439" spans="1:1" s="48" customFormat="1" ht="16.5" x14ac:dyDescent="0.3">
      <c r="A1439" s="47"/>
    </row>
    <row r="1440" spans="1:1" s="48" customFormat="1" ht="16.5" x14ac:dyDescent="0.3">
      <c r="A1440" s="47"/>
    </row>
    <row r="1441" spans="1:1" s="48" customFormat="1" ht="16.5" x14ac:dyDescent="0.3">
      <c r="A1441" s="47"/>
    </row>
    <row r="1442" spans="1:1" s="48" customFormat="1" ht="16.5" x14ac:dyDescent="0.3">
      <c r="A1442" s="47"/>
    </row>
    <row r="1443" spans="1:1" s="48" customFormat="1" ht="16.5" x14ac:dyDescent="0.3">
      <c r="A1443" s="47"/>
    </row>
    <row r="1444" spans="1:1" s="48" customFormat="1" ht="16.5" x14ac:dyDescent="0.3">
      <c r="A1444" s="47"/>
    </row>
    <row r="1445" spans="1:1" s="48" customFormat="1" ht="16.5" x14ac:dyDescent="0.3">
      <c r="A1445" s="47"/>
    </row>
    <row r="1446" spans="1:1" s="48" customFormat="1" ht="16.5" x14ac:dyDescent="0.3">
      <c r="A1446" s="47"/>
    </row>
    <row r="1447" spans="1:1" s="48" customFormat="1" ht="16.5" x14ac:dyDescent="0.3">
      <c r="A1447" s="47"/>
    </row>
    <row r="1448" spans="1:1" s="48" customFormat="1" ht="16.5" x14ac:dyDescent="0.3">
      <c r="A1448" s="47"/>
    </row>
    <row r="1449" spans="1:1" s="48" customFormat="1" ht="16.5" x14ac:dyDescent="0.3">
      <c r="A1449" s="47"/>
    </row>
    <row r="1450" spans="1:1" s="48" customFormat="1" ht="16.5" x14ac:dyDescent="0.3">
      <c r="A1450" s="47"/>
    </row>
    <row r="1451" spans="1:1" s="48" customFormat="1" ht="16.5" x14ac:dyDescent="0.3">
      <c r="A1451" s="47"/>
    </row>
    <row r="1452" spans="1:1" s="48" customFormat="1" ht="16.5" x14ac:dyDescent="0.3">
      <c r="A1452" s="47"/>
    </row>
    <row r="1453" spans="1:1" s="48" customFormat="1" ht="16.5" x14ac:dyDescent="0.3">
      <c r="A1453" s="47"/>
    </row>
    <row r="1454" spans="1:1" s="48" customFormat="1" ht="16.5" x14ac:dyDescent="0.3">
      <c r="A1454" s="47"/>
    </row>
    <row r="1455" spans="1:1" s="48" customFormat="1" ht="16.5" x14ac:dyDescent="0.3">
      <c r="A1455" s="47"/>
    </row>
    <row r="1456" spans="1:1" s="48" customFormat="1" ht="16.5" x14ac:dyDescent="0.3">
      <c r="A1456" s="47"/>
    </row>
    <row r="1457" spans="1:1" s="48" customFormat="1" ht="16.5" x14ac:dyDescent="0.3">
      <c r="A1457" s="47"/>
    </row>
    <row r="1458" spans="1:1" s="48" customFormat="1" ht="16.5" x14ac:dyDescent="0.3">
      <c r="A1458" s="47"/>
    </row>
    <row r="1459" spans="1:1" s="48" customFormat="1" ht="16.5" x14ac:dyDescent="0.3">
      <c r="A1459" s="47"/>
    </row>
    <row r="1460" spans="1:1" s="48" customFormat="1" ht="16.5" x14ac:dyDescent="0.3">
      <c r="A1460" s="47"/>
    </row>
    <row r="1461" spans="1:1" s="48" customFormat="1" ht="16.5" x14ac:dyDescent="0.3">
      <c r="A1461" s="47"/>
    </row>
    <row r="1462" spans="1:1" s="48" customFormat="1" ht="16.5" x14ac:dyDescent="0.3">
      <c r="A1462" s="47"/>
    </row>
    <row r="1463" spans="1:1" s="48" customFormat="1" ht="16.5" x14ac:dyDescent="0.3">
      <c r="A1463" s="47"/>
    </row>
    <row r="1464" spans="1:1" s="48" customFormat="1" ht="16.5" x14ac:dyDescent="0.3">
      <c r="A1464" s="47"/>
    </row>
    <row r="1465" spans="1:1" s="48" customFormat="1" ht="16.5" x14ac:dyDescent="0.3">
      <c r="A1465" s="47"/>
    </row>
    <row r="1466" spans="1:1" s="48" customFormat="1" ht="16.5" x14ac:dyDescent="0.3">
      <c r="A1466" s="47"/>
    </row>
    <row r="1467" spans="1:1" s="48" customFormat="1" ht="16.5" x14ac:dyDescent="0.3">
      <c r="A1467" s="47"/>
    </row>
    <row r="1468" spans="1:1" s="48" customFormat="1" ht="16.5" x14ac:dyDescent="0.3">
      <c r="A1468" s="47"/>
    </row>
    <row r="1469" spans="1:1" s="48" customFormat="1" ht="16.5" x14ac:dyDescent="0.3">
      <c r="A1469" s="47"/>
    </row>
    <row r="1470" spans="1:1" s="48" customFormat="1" ht="16.5" x14ac:dyDescent="0.3">
      <c r="A1470" s="47"/>
    </row>
    <row r="1471" spans="1:1" s="48" customFormat="1" ht="16.5" x14ac:dyDescent="0.3">
      <c r="A1471" s="47"/>
    </row>
    <row r="1472" spans="1:1" s="48" customFormat="1" ht="16.5" x14ac:dyDescent="0.3">
      <c r="A1472" s="47"/>
    </row>
    <row r="1473" spans="1:1" s="48" customFormat="1" ht="16.5" x14ac:dyDescent="0.3">
      <c r="A1473" s="47"/>
    </row>
    <row r="1474" spans="1:1" s="48" customFormat="1" ht="16.5" x14ac:dyDescent="0.3">
      <c r="A1474" s="47"/>
    </row>
    <row r="1475" spans="1:1" s="48" customFormat="1" ht="16.5" x14ac:dyDescent="0.3">
      <c r="A1475" s="47"/>
    </row>
    <row r="1476" spans="1:1" s="48" customFormat="1" ht="16.5" x14ac:dyDescent="0.3">
      <c r="A1476" s="47"/>
    </row>
    <row r="1477" spans="1:1" s="48" customFormat="1" ht="16.5" x14ac:dyDescent="0.3">
      <c r="A1477" s="47"/>
    </row>
    <row r="1478" spans="1:1" s="48" customFormat="1" ht="16.5" x14ac:dyDescent="0.3">
      <c r="A1478" s="47"/>
    </row>
    <row r="1479" spans="1:1" s="48" customFormat="1" ht="16.5" x14ac:dyDescent="0.3">
      <c r="A1479" s="47"/>
    </row>
    <row r="1480" spans="1:1" s="48" customFormat="1" ht="16.5" x14ac:dyDescent="0.3">
      <c r="A1480" s="47"/>
    </row>
    <row r="1481" spans="1:1" s="48" customFormat="1" ht="16.5" x14ac:dyDescent="0.3">
      <c r="A1481" s="47"/>
    </row>
    <row r="1482" spans="1:1" s="48" customFormat="1" ht="16.5" x14ac:dyDescent="0.3">
      <c r="A1482" s="47"/>
    </row>
    <row r="1483" spans="1:1" s="48" customFormat="1" ht="16.5" x14ac:dyDescent="0.3">
      <c r="A1483" s="47"/>
    </row>
    <row r="1484" spans="1:1" s="48" customFormat="1" ht="16.5" x14ac:dyDescent="0.3">
      <c r="A1484" s="47"/>
    </row>
    <row r="1485" spans="1:1" s="48" customFormat="1" ht="16.5" x14ac:dyDescent="0.3">
      <c r="A1485" s="47"/>
    </row>
    <row r="1486" spans="1:1" s="48" customFormat="1" ht="16.5" x14ac:dyDescent="0.3">
      <c r="A1486" s="47"/>
    </row>
    <row r="1487" spans="1:1" s="48" customFormat="1" ht="16.5" x14ac:dyDescent="0.3">
      <c r="A1487" s="47"/>
    </row>
    <row r="1488" spans="1:1" s="48" customFormat="1" ht="16.5" x14ac:dyDescent="0.3">
      <c r="A1488" s="47"/>
    </row>
    <row r="1489" spans="1:1" s="48" customFormat="1" ht="16.5" x14ac:dyDescent="0.3">
      <c r="A1489" s="47"/>
    </row>
    <row r="1490" spans="1:1" s="48" customFormat="1" ht="16.5" x14ac:dyDescent="0.3">
      <c r="A1490" s="47"/>
    </row>
    <row r="1491" spans="1:1" s="48" customFormat="1" ht="16.5" x14ac:dyDescent="0.3">
      <c r="A1491" s="47"/>
    </row>
    <row r="1492" spans="1:1" s="48" customFormat="1" ht="16.5" x14ac:dyDescent="0.3">
      <c r="A1492" s="47"/>
    </row>
    <row r="1493" spans="1:1" s="48" customFormat="1" ht="16.5" x14ac:dyDescent="0.3">
      <c r="A1493" s="47"/>
    </row>
    <row r="1494" spans="1:1" s="48" customFormat="1" ht="16.5" x14ac:dyDescent="0.3">
      <c r="A1494" s="47"/>
    </row>
    <row r="1495" spans="1:1" s="48" customFormat="1" ht="16.5" x14ac:dyDescent="0.3">
      <c r="A1495" s="47"/>
    </row>
    <row r="1496" spans="1:1" s="48" customFormat="1" ht="16.5" x14ac:dyDescent="0.3">
      <c r="A1496" s="47"/>
    </row>
    <row r="1497" spans="1:1" s="48" customFormat="1" ht="16.5" x14ac:dyDescent="0.3">
      <c r="A1497" s="47"/>
    </row>
    <row r="1498" spans="1:1" s="48" customFormat="1" ht="16.5" x14ac:dyDescent="0.3">
      <c r="A1498" s="47"/>
    </row>
    <row r="1499" spans="1:1" s="48" customFormat="1" ht="16.5" x14ac:dyDescent="0.3">
      <c r="A1499" s="47"/>
    </row>
    <row r="1500" spans="1:1" s="48" customFormat="1" ht="16.5" x14ac:dyDescent="0.3">
      <c r="A1500" s="47"/>
    </row>
    <row r="1501" spans="1:1" s="48" customFormat="1" ht="16.5" x14ac:dyDescent="0.3">
      <c r="A1501" s="47"/>
    </row>
    <row r="1502" spans="1:1" s="48" customFormat="1" ht="16.5" x14ac:dyDescent="0.3">
      <c r="A1502" s="47"/>
    </row>
    <row r="1503" spans="1:1" s="48" customFormat="1" ht="16.5" x14ac:dyDescent="0.3">
      <c r="A1503" s="47"/>
    </row>
    <row r="1504" spans="1:1" s="48" customFormat="1" ht="16.5" x14ac:dyDescent="0.3">
      <c r="A1504" s="47"/>
    </row>
    <row r="1505" spans="1:1" s="48" customFormat="1" ht="16.5" x14ac:dyDescent="0.3">
      <c r="A1505" s="47"/>
    </row>
    <row r="1506" spans="1:1" s="48" customFormat="1" ht="16.5" x14ac:dyDescent="0.3">
      <c r="A1506" s="47"/>
    </row>
    <row r="1507" spans="1:1" s="48" customFormat="1" ht="16.5" x14ac:dyDescent="0.3">
      <c r="A1507" s="47"/>
    </row>
    <row r="1508" spans="1:1" s="48" customFormat="1" ht="16.5" x14ac:dyDescent="0.3">
      <c r="A1508" s="47"/>
    </row>
    <row r="1509" spans="1:1" s="48" customFormat="1" ht="16.5" x14ac:dyDescent="0.3">
      <c r="A1509" s="47"/>
    </row>
    <row r="1510" spans="1:1" s="48" customFormat="1" ht="16.5" x14ac:dyDescent="0.3">
      <c r="A1510" s="47"/>
    </row>
    <row r="1511" spans="1:1" s="48" customFormat="1" ht="16.5" x14ac:dyDescent="0.3">
      <c r="A1511" s="47"/>
    </row>
    <row r="1512" spans="1:1" s="48" customFormat="1" ht="16.5" x14ac:dyDescent="0.3">
      <c r="A1512" s="47"/>
    </row>
    <row r="1513" spans="1:1" s="48" customFormat="1" ht="16.5" x14ac:dyDescent="0.3">
      <c r="A1513" s="47"/>
    </row>
    <row r="1514" spans="1:1" s="48" customFormat="1" ht="16.5" x14ac:dyDescent="0.3">
      <c r="A1514" s="47"/>
    </row>
    <row r="1515" spans="1:1" s="48" customFormat="1" ht="16.5" x14ac:dyDescent="0.3">
      <c r="A1515" s="47"/>
    </row>
    <row r="1516" spans="1:1" s="48" customFormat="1" ht="16.5" x14ac:dyDescent="0.3">
      <c r="A1516" s="47"/>
    </row>
    <row r="1517" spans="1:1" s="48" customFormat="1" ht="16.5" x14ac:dyDescent="0.3">
      <c r="A1517" s="47"/>
    </row>
    <row r="1518" spans="1:1" s="48" customFormat="1" ht="16.5" x14ac:dyDescent="0.3">
      <c r="A1518" s="47"/>
    </row>
    <row r="1519" spans="1:1" s="48" customFormat="1" ht="16.5" x14ac:dyDescent="0.3">
      <c r="A1519" s="47"/>
    </row>
    <row r="1520" spans="1:1" s="48" customFormat="1" ht="16.5" x14ac:dyDescent="0.3">
      <c r="A1520" s="47"/>
    </row>
    <row r="1521" spans="1:1" s="48" customFormat="1" ht="16.5" x14ac:dyDescent="0.3">
      <c r="A1521" s="47"/>
    </row>
    <row r="1522" spans="1:1" s="48" customFormat="1" ht="16.5" x14ac:dyDescent="0.3">
      <c r="A1522" s="47"/>
    </row>
    <row r="1523" spans="1:1" s="48" customFormat="1" ht="16.5" x14ac:dyDescent="0.3">
      <c r="A1523" s="47"/>
    </row>
    <row r="1524" spans="1:1" s="48" customFormat="1" ht="16.5" x14ac:dyDescent="0.3">
      <c r="A1524" s="47"/>
    </row>
    <row r="1525" spans="1:1" s="48" customFormat="1" ht="16.5" x14ac:dyDescent="0.3">
      <c r="A1525" s="47"/>
    </row>
    <row r="1526" spans="1:1" s="48" customFormat="1" ht="16.5" x14ac:dyDescent="0.3">
      <c r="A1526" s="47"/>
    </row>
    <row r="1527" spans="1:1" s="48" customFormat="1" ht="16.5" x14ac:dyDescent="0.3">
      <c r="A1527" s="47"/>
    </row>
    <row r="1528" spans="1:1" s="48" customFormat="1" ht="16.5" x14ac:dyDescent="0.3">
      <c r="A1528" s="47"/>
    </row>
  </sheetData>
  <mergeCells count="4">
    <mergeCell ref="A5:AE5"/>
    <mergeCell ref="A16:AE16"/>
    <mergeCell ref="A68:AF68"/>
    <mergeCell ref="A118:AF118"/>
  </mergeCells>
  <printOptions horizontalCentered="1"/>
  <pageMargins left="0.7" right="0.7" top="0.75" bottom="0.75" header="0.3" footer="0.3"/>
  <pageSetup scale="73" orientation="portrait" r:id="rId1"/>
  <headerFooter>
    <oddFooter>&amp;LBLS&amp;CUtah System of Higher Education&amp;RPage &amp;P</oddFooter>
  </headerFooter>
  <rowBreaks count="1" manualBreakCount="1">
    <brk id="66" max="16383" man="1"/>
  </rowBreaks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zoomScaleNormal="100" workbookViewId="0">
      <selection activeCell="J10" sqref="J10"/>
    </sheetView>
  </sheetViews>
  <sheetFormatPr defaultRowHeight="15.75" x14ac:dyDescent="0.25"/>
  <cols>
    <col min="1" max="1" width="9.140625" style="36"/>
    <col min="2" max="2" width="13.85546875" style="36" customWidth="1"/>
    <col min="3" max="3" width="14.140625" style="36" bestFit="1" customWidth="1"/>
    <col min="4" max="4" width="13.42578125" style="36" bestFit="1" customWidth="1"/>
    <col min="5" max="6" width="9.140625" style="36"/>
    <col min="7" max="7" width="12.28515625" style="36" customWidth="1"/>
    <col min="8" max="8" width="14.140625" style="36" bestFit="1" customWidth="1"/>
    <col min="9" max="9" width="9.5703125" style="36" bestFit="1" customWidth="1"/>
    <col min="10" max="10" width="14.7109375" style="36" customWidth="1"/>
    <col min="11" max="11" width="12.140625" style="36" customWidth="1"/>
    <col min="12" max="16384" width="9.140625" style="36"/>
  </cols>
  <sheetData>
    <row r="1" spans="1:9" x14ac:dyDescent="0.25">
      <c r="A1" s="35" t="s">
        <v>119</v>
      </c>
      <c r="B1" s="35"/>
    </row>
    <row r="2" spans="1:9" x14ac:dyDescent="0.25">
      <c r="A2" s="35"/>
      <c r="B2" s="35"/>
    </row>
    <row r="3" spans="1:9" x14ac:dyDescent="0.25">
      <c r="A3" s="35" t="s">
        <v>28</v>
      </c>
      <c r="B3" s="35"/>
      <c r="G3" s="35" t="s">
        <v>29</v>
      </c>
      <c r="H3" s="35"/>
    </row>
    <row r="4" spans="1:9" x14ac:dyDescent="0.25">
      <c r="B4" s="36" t="s">
        <v>30</v>
      </c>
      <c r="C4" s="36" t="s">
        <v>31</v>
      </c>
      <c r="D4" s="36" t="s">
        <v>32</v>
      </c>
      <c r="G4" s="36" t="s">
        <v>30</v>
      </c>
      <c r="H4" s="36" t="s">
        <v>31</v>
      </c>
      <c r="I4" s="36" t="s">
        <v>32</v>
      </c>
    </row>
    <row r="5" spans="1:9" x14ac:dyDescent="0.25">
      <c r="A5" s="37" t="s">
        <v>9</v>
      </c>
      <c r="B5" s="266">
        <v>2823.6271372549022</v>
      </c>
      <c r="C5" s="266">
        <v>3146.7169230769227</v>
      </c>
      <c r="D5" s="266">
        <v>3843</v>
      </c>
      <c r="E5" s="37"/>
      <c r="F5" s="37" t="s">
        <v>9</v>
      </c>
      <c r="G5" s="266">
        <v>9383.6378740157488</v>
      </c>
      <c r="H5" s="266">
        <v>9453.4233333333341</v>
      </c>
      <c r="I5" s="266">
        <v>12206</v>
      </c>
    </row>
    <row r="6" spans="1:9" x14ac:dyDescent="0.25">
      <c r="A6" s="37" t="s">
        <v>8</v>
      </c>
      <c r="B6" s="266">
        <v>7541.7</v>
      </c>
      <c r="C6" s="266">
        <v>7379.666666666667</v>
      </c>
      <c r="D6" s="266">
        <v>5726</v>
      </c>
      <c r="E6" s="37"/>
      <c r="F6" s="37" t="s">
        <v>8</v>
      </c>
      <c r="G6" s="266">
        <v>20160.900000000001</v>
      </c>
      <c r="H6" s="266">
        <v>20461.666666666668</v>
      </c>
      <c r="I6" s="266">
        <v>16296</v>
      </c>
    </row>
    <row r="7" spans="1:9" x14ac:dyDescent="0.25">
      <c r="A7" s="37" t="s">
        <v>145</v>
      </c>
      <c r="B7" s="266">
        <v>7644.318181818182</v>
      </c>
      <c r="C7" s="266">
        <v>7275</v>
      </c>
      <c r="D7" s="266">
        <v>5253</v>
      </c>
      <c r="E7" s="37"/>
      <c r="F7" s="37" t="s">
        <v>145</v>
      </c>
      <c r="G7" s="266">
        <v>18503</v>
      </c>
      <c r="H7" s="266">
        <v>18649.363636363636</v>
      </c>
      <c r="I7" s="266">
        <v>15051</v>
      </c>
    </row>
    <row r="8" spans="1:9" x14ac:dyDescent="0.25">
      <c r="A8" s="37" t="s">
        <v>33</v>
      </c>
      <c r="B8" s="266">
        <v>2823.6271372549022</v>
      </c>
      <c r="C8" s="266">
        <v>3146.7169230769227</v>
      </c>
      <c r="D8" s="266">
        <v>3742</v>
      </c>
      <c r="E8" s="37"/>
      <c r="F8" s="37" t="s">
        <v>33</v>
      </c>
      <c r="G8" s="266">
        <v>9383.6378740157488</v>
      </c>
      <c r="H8" s="266">
        <v>9453.4233333333341</v>
      </c>
      <c r="I8" s="266">
        <v>12562</v>
      </c>
    </row>
    <row r="9" spans="1:9" x14ac:dyDescent="0.25">
      <c r="A9" s="37" t="s">
        <v>6</v>
      </c>
      <c r="B9" s="266">
        <v>7153.8</v>
      </c>
      <c r="C9" s="266">
        <v>6511.5</v>
      </c>
      <c r="D9" s="266">
        <v>6816</v>
      </c>
      <c r="E9" s="37"/>
      <c r="F9" s="37" t="s">
        <v>6</v>
      </c>
      <c r="G9" s="266">
        <v>16998.2</v>
      </c>
      <c r="H9" s="266">
        <v>13780</v>
      </c>
      <c r="I9" s="266">
        <v>20632</v>
      </c>
    </row>
    <row r="10" spans="1:9" x14ac:dyDescent="0.25">
      <c r="A10" s="37" t="s">
        <v>5</v>
      </c>
      <c r="B10" s="266">
        <v>7541.7</v>
      </c>
      <c r="C10" s="266">
        <v>7379.666666666667</v>
      </c>
      <c r="D10" s="266">
        <v>5859</v>
      </c>
      <c r="E10" s="37"/>
      <c r="F10" s="37" t="s">
        <v>5</v>
      </c>
      <c r="G10" s="266">
        <v>20160.900000000001</v>
      </c>
      <c r="H10" s="266">
        <v>20461.666666666668</v>
      </c>
      <c r="I10" s="266">
        <v>15646</v>
      </c>
    </row>
    <row r="11" spans="1:9" x14ac:dyDescent="0.25">
      <c r="A11" s="37" t="s">
        <v>18</v>
      </c>
      <c r="B11" s="266">
        <v>9029.7333333333336</v>
      </c>
      <c r="C11" s="266">
        <v>9050.8888888888887</v>
      </c>
      <c r="D11" s="266">
        <v>7425</v>
      </c>
      <c r="E11" s="37"/>
      <c r="F11" s="37" t="s">
        <v>18</v>
      </c>
      <c r="G11" s="266">
        <v>23131.4</v>
      </c>
      <c r="H11" s="266">
        <v>24660.777777777777</v>
      </c>
      <c r="I11" s="266">
        <v>21505</v>
      </c>
    </row>
    <row r="12" spans="1:9" x14ac:dyDescent="0.25">
      <c r="A12" s="37" t="s">
        <v>24</v>
      </c>
      <c r="B12" s="266">
        <v>12073.428571428571</v>
      </c>
      <c r="C12" s="266">
        <v>10343.75</v>
      </c>
      <c r="D12" s="266">
        <v>9122</v>
      </c>
      <c r="E12" s="37"/>
      <c r="F12" s="37" t="s">
        <v>24</v>
      </c>
      <c r="G12" s="266">
        <v>35833.523809523809</v>
      </c>
      <c r="H12" s="266">
        <v>30049.875</v>
      </c>
      <c r="I12" s="266">
        <v>29115</v>
      </c>
    </row>
    <row r="13" spans="1:9" x14ac:dyDescent="0.25">
      <c r="A13" s="37"/>
      <c r="B13" s="37"/>
      <c r="C13" s="37"/>
      <c r="D13" s="37"/>
      <c r="E13" s="37"/>
      <c r="F13" s="37"/>
      <c r="G13" s="37"/>
      <c r="H13" s="37"/>
      <c r="I13" s="37"/>
    </row>
    <row r="14" spans="1:9" x14ac:dyDescent="0.25">
      <c r="A14" s="113" t="s">
        <v>34</v>
      </c>
      <c r="B14" s="113"/>
      <c r="C14" s="37"/>
      <c r="D14" s="37"/>
      <c r="E14" s="37"/>
      <c r="F14" s="37"/>
      <c r="G14" s="113" t="s">
        <v>35</v>
      </c>
      <c r="H14" s="113"/>
      <c r="I14" s="37"/>
    </row>
    <row r="15" spans="1:9" x14ac:dyDescent="0.25">
      <c r="A15" s="37"/>
      <c r="B15" s="37" t="s">
        <v>30</v>
      </c>
      <c r="C15" s="37" t="s">
        <v>31</v>
      </c>
      <c r="D15" s="37" t="s">
        <v>32</v>
      </c>
      <c r="E15" s="37"/>
      <c r="F15" s="37"/>
      <c r="G15" s="37" t="s">
        <v>30</v>
      </c>
      <c r="H15" s="37" t="s">
        <v>31</v>
      </c>
      <c r="I15" s="37" t="s">
        <v>32</v>
      </c>
    </row>
    <row r="16" spans="1:9" x14ac:dyDescent="0.25">
      <c r="A16" s="37" t="s">
        <v>8</v>
      </c>
      <c r="B16" s="266">
        <v>8999.4</v>
      </c>
      <c r="C16" s="266">
        <v>8130.666666666667</v>
      </c>
      <c r="D16" s="266">
        <v>6350</v>
      </c>
      <c r="E16" s="37"/>
      <c r="F16" s="37" t="s">
        <v>8</v>
      </c>
      <c r="G16" s="266">
        <v>20464.099999999999</v>
      </c>
      <c r="H16" s="266">
        <v>21925.5</v>
      </c>
      <c r="I16" s="266">
        <v>17950</v>
      </c>
    </row>
    <row r="17" spans="1:9" x14ac:dyDescent="0.25">
      <c r="A17" s="37" t="s">
        <v>145</v>
      </c>
      <c r="B17" s="266">
        <v>10146.928571428571</v>
      </c>
      <c r="C17" s="266">
        <v>10029.857142857143</v>
      </c>
      <c r="D17" s="266">
        <v>12795</v>
      </c>
      <c r="E17" s="37"/>
      <c r="F17" s="37" t="s">
        <v>145</v>
      </c>
      <c r="G17" s="266">
        <v>20240.642857142859</v>
      </c>
      <c r="H17" s="266">
        <v>20610.857142857141</v>
      </c>
      <c r="I17" s="266">
        <v>30795</v>
      </c>
    </row>
    <row r="18" spans="1:9" x14ac:dyDescent="0.25">
      <c r="A18" s="37" t="s">
        <v>6</v>
      </c>
      <c r="B18" s="266">
        <v>9459.4</v>
      </c>
      <c r="C18" s="266">
        <v>6849</v>
      </c>
      <c r="D18" s="266">
        <v>6920</v>
      </c>
      <c r="E18" s="37"/>
      <c r="F18" s="37" t="s">
        <v>6</v>
      </c>
      <c r="G18" s="266">
        <v>18069</v>
      </c>
      <c r="H18" s="266">
        <v>14979.5</v>
      </c>
      <c r="I18" s="266">
        <v>20974</v>
      </c>
    </row>
    <row r="19" spans="1:9" x14ac:dyDescent="0.25">
      <c r="A19" s="37" t="s">
        <v>5</v>
      </c>
      <c r="B19" s="266">
        <v>8999.4</v>
      </c>
      <c r="C19" s="266">
        <v>8130.666666666667</v>
      </c>
      <c r="D19" s="266">
        <v>5907</v>
      </c>
      <c r="E19" s="37"/>
      <c r="F19" s="37" t="s">
        <v>5</v>
      </c>
      <c r="G19" s="266">
        <v>20464.099999999999</v>
      </c>
      <c r="H19" s="266">
        <v>21925.5</v>
      </c>
      <c r="I19" s="266">
        <v>15790</v>
      </c>
    </row>
    <row r="20" spans="1:9" x14ac:dyDescent="0.25">
      <c r="A20" s="37" t="s">
        <v>18</v>
      </c>
      <c r="B20" s="266">
        <v>10041.4</v>
      </c>
      <c r="C20" s="266">
        <v>9228.5555555555547</v>
      </c>
      <c r="D20" s="266">
        <v>7449</v>
      </c>
      <c r="E20" s="37"/>
      <c r="F20" s="37" t="s">
        <v>18</v>
      </c>
      <c r="G20" s="266">
        <v>23205.866666666665</v>
      </c>
      <c r="H20" s="266">
        <v>24589.111111111109</v>
      </c>
      <c r="I20" s="266">
        <v>23365</v>
      </c>
    </row>
    <row r="21" spans="1:9" x14ac:dyDescent="0.25">
      <c r="A21" s="37" t="s">
        <v>24</v>
      </c>
      <c r="B21" s="266">
        <v>12768.619047619048</v>
      </c>
      <c r="C21" s="266">
        <v>10763.625</v>
      </c>
      <c r="D21" s="266">
        <v>8112</v>
      </c>
      <c r="E21" s="37"/>
      <c r="F21" s="37" t="s">
        <v>24</v>
      </c>
      <c r="G21" s="266">
        <v>28934.285714285714</v>
      </c>
      <c r="H21" s="266">
        <v>28910.625</v>
      </c>
      <c r="I21" s="266">
        <v>25790</v>
      </c>
    </row>
    <row r="26" spans="1:9" x14ac:dyDescent="0.25">
      <c r="A26" s="162" t="s">
        <v>163</v>
      </c>
    </row>
  </sheetData>
  <pageMargins left="0.7" right="0.7" top="0.75" bottom="0.75" header="0.3" footer="0.3"/>
  <pageSetup scale="73" orientation="landscape" r:id="rId1"/>
  <headerFooter>
    <oddFooter>&amp;LGLS/BLS/JSA&amp;CUtah System of Higher Education&amp;RPage &amp;P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B440"/>
  <sheetViews>
    <sheetView topLeftCell="A40" zoomScaleNormal="100" workbookViewId="0">
      <pane xSplit="4" topLeftCell="E1" activePane="topRight" state="frozen"/>
      <selection pane="topRight" activeCell="E84" sqref="E84"/>
    </sheetView>
  </sheetViews>
  <sheetFormatPr defaultRowHeight="12.75" x14ac:dyDescent="0.2"/>
  <cols>
    <col min="1" max="1" width="2.7109375" style="294" bestFit="1" customWidth="1"/>
    <col min="2" max="3" width="3.42578125" style="294" bestFit="1" customWidth="1"/>
    <col min="4" max="4" width="39" style="294" bestFit="1" customWidth="1"/>
    <col min="5" max="6" width="9.28515625" style="294" customWidth="1"/>
    <col min="7" max="15" width="9.28515625" style="294" hidden="1" customWidth="1"/>
    <col min="16" max="18" width="9.28515625" style="294" customWidth="1"/>
    <col min="19" max="27" width="9.28515625" style="294" hidden="1" customWidth="1"/>
    <col min="28" max="30" width="9.28515625" style="294" customWidth="1"/>
    <col min="31" max="39" width="9.28515625" style="294" hidden="1" customWidth="1"/>
    <col min="40" max="42" width="9.28515625" style="294" customWidth="1"/>
    <col min="43" max="51" width="9.28515625" style="294" hidden="1" customWidth="1"/>
    <col min="52" max="256" width="9.140625" style="294"/>
    <col min="257" max="257" width="2.7109375" style="294" bestFit="1" customWidth="1"/>
    <col min="258" max="259" width="3.42578125" style="294" bestFit="1" customWidth="1"/>
    <col min="260" max="260" width="39" style="294" bestFit="1" customWidth="1"/>
    <col min="261" max="262" width="9.28515625" style="294" customWidth="1"/>
    <col min="263" max="271" width="0" style="294" hidden="1" customWidth="1"/>
    <col min="272" max="274" width="9.28515625" style="294" customWidth="1"/>
    <col min="275" max="283" width="0" style="294" hidden="1" customWidth="1"/>
    <col min="284" max="286" width="9.28515625" style="294" customWidth="1"/>
    <col min="287" max="295" width="0" style="294" hidden="1" customWidth="1"/>
    <col min="296" max="298" width="9.28515625" style="294" customWidth="1"/>
    <col min="299" max="307" width="0" style="294" hidden="1" customWidth="1"/>
    <col min="308" max="512" width="9.140625" style="294"/>
    <col min="513" max="513" width="2.7109375" style="294" bestFit="1" customWidth="1"/>
    <col min="514" max="515" width="3.42578125" style="294" bestFit="1" customWidth="1"/>
    <col min="516" max="516" width="39" style="294" bestFit="1" customWidth="1"/>
    <col min="517" max="518" width="9.28515625" style="294" customWidth="1"/>
    <col min="519" max="527" width="0" style="294" hidden="1" customWidth="1"/>
    <col min="528" max="530" width="9.28515625" style="294" customWidth="1"/>
    <col min="531" max="539" width="0" style="294" hidden="1" customWidth="1"/>
    <col min="540" max="542" width="9.28515625" style="294" customWidth="1"/>
    <col min="543" max="551" width="0" style="294" hidden="1" customWidth="1"/>
    <col min="552" max="554" width="9.28515625" style="294" customWidth="1"/>
    <col min="555" max="563" width="0" style="294" hidden="1" customWidth="1"/>
    <col min="564" max="768" width="9.140625" style="294"/>
    <col min="769" max="769" width="2.7109375" style="294" bestFit="1" customWidth="1"/>
    <col min="770" max="771" width="3.42578125" style="294" bestFit="1" customWidth="1"/>
    <col min="772" max="772" width="39" style="294" bestFit="1" customWidth="1"/>
    <col min="773" max="774" width="9.28515625" style="294" customWidth="1"/>
    <col min="775" max="783" width="0" style="294" hidden="1" customWidth="1"/>
    <col min="784" max="786" width="9.28515625" style="294" customWidth="1"/>
    <col min="787" max="795" width="0" style="294" hidden="1" customWidth="1"/>
    <col min="796" max="798" width="9.28515625" style="294" customWidth="1"/>
    <col min="799" max="807" width="0" style="294" hidden="1" customWidth="1"/>
    <col min="808" max="810" width="9.28515625" style="294" customWidth="1"/>
    <col min="811" max="819" width="0" style="294" hidden="1" customWidth="1"/>
    <col min="820" max="1024" width="9.140625" style="294"/>
    <col min="1025" max="1025" width="2.7109375" style="294" bestFit="1" customWidth="1"/>
    <col min="1026" max="1027" width="3.42578125" style="294" bestFit="1" customWidth="1"/>
    <col min="1028" max="1028" width="39" style="294" bestFit="1" customWidth="1"/>
    <col min="1029" max="1030" width="9.28515625" style="294" customWidth="1"/>
    <col min="1031" max="1039" width="0" style="294" hidden="1" customWidth="1"/>
    <col min="1040" max="1042" width="9.28515625" style="294" customWidth="1"/>
    <col min="1043" max="1051" width="0" style="294" hidden="1" customWidth="1"/>
    <col min="1052" max="1054" width="9.28515625" style="294" customWidth="1"/>
    <col min="1055" max="1063" width="0" style="294" hidden="1" customWidth="1"/>
    <col min="1064" max="1066" width="9.28515625" style="294" customWidth="1"/>
    <col min="1067" max="1075" width="0" style="294" hidden="1" customWidth="1"/>
    <col min="1076" max="1280" width="9.140625" style="294"/>
    <col min="1281" max="1281" width="2.7109375" style="294" bestFit="1" customWidth="1"/>
    <col min="1282" max="1283" width="3.42578125" style="294" bestFit="1" customWidth="1"/>
    <col min="1284" max="1284" width="39" style="294" bestFit="1" customWidth="1"/>
    <col min="1285" max="1286" width="9.28515625" style="294" customWidth="1"/>
    <col min="1287" max="1295" width="0" style="294" hidden="1" customWidth="1"/>
    <col min="1296" max="1298" width="9.28515625" style="294" customWidth="1"/>
    <col min="1299" max="1307" width="0" style="294" hidden="1" customWidth="1"/>
    <col min="1308" max="1310" width="9.28515625" style="294" customWidth="1"/>
    <col min="1311" max="1319" width="0" style="294" hidden="1" customWidth="1"/>
    <col min="1320" max="1322" width="9.28515625" style="294" customWidth="1"/>
    <col min="1323" max="1331" width="0" style="294" hidden="1" customWidth="1"/>
    <col min="1332" max="1536" width="9.140625" style="294"/>
    <col min="1537" max="1537" width="2.7109375" style="294" bestFit="1" customWidth="1"/>
    <col min="1538" max="1539" width="3.42578125" style="294" bestFit="1" customWidth="1"/>
    <col min="1540" max="1540" width="39" style="294" bestFit="1" customWidth="1"/>
    <col min="1541" max="1542" width="9.28515625" style="294" customWidth="1"/>
    <col min="1543" max="1551" width="0" style="294" hidden="1" customWidth="1"/>
    <col min="1552" max="1554" width="9.28515625" style="294" customWidth="1"/>
    <col min="1555" max="1563" width="0" style="294" hidden="1" customWidth="1"/>
    <col min="1564" max="1566" width="9.28515625" style="294" customWidth="1"/>
    <col min="1567" max="1575" width="0" style="294" hidden="1" customWidth="1"/>
    <col min="1576" max="1578" width="9.28515625" style="294" customWidth="1"/>
    <col min="1579" max="1587" width="0" style="294" hidden="1" customWidth="1"/>
    <col min="1588" max="1792" width="9.140625" style="294"/>
    <col min="1793" max="1793" width="2.7109375" style="294" bestFit="1" customWidth="1"/>
    <col min="1794" max="1795" width="3.42578125" style="294" bestFit="1" customWidth="1"/>
    <col min="1796" max="1796" width="39" style="294" bestFit="1" customWidth="1"/>
    <col min="1797" max="1798" width="9.28515625" style="294" customWidth="1"/>
    <col min="1799" max="1807" width="0" style="294" hidden="1" customWidth="1"/>
    <col min="1808" max="1810" width="9.28515625" style="294" customWidth="1"/>
    <col min="1811" max="1819" width="0" style="294" hidden="1" customWidth="1"/>
    <col min="1820" max="1822" width="9.28515625" style="294" customWidth="1"/>
    <col min="1823" max="1831" width="0" style="294" hidden="1" customWidth="1"/>
    <col min="1832" max="1834" width="9.28515625" style="294" customWidth="1"/>
    <col min="1835" max="1843" width="0" style="294" hidden="1" customWidth="1"/>
    <col min="1844" max="2048" width="9.140625" style="294"/>
    <col min="2049" max="2049" width="2.7109375" style="294" bestFit="1" customWidth="1"/>
    <col min="2050" max="2051" width="3.42578125" style="294" bestFit="1" customWidth="1"/>
    <col min="2052" max="2052" width="39" style="294" bestFit="1" customWidth="1"/>
    <col min="2053" max="2054" width="9.28515625" style="294" customWidth="1"/>
    <col min="2055" max="2063" width="0" style="294" hidden="1" customWidth="1"/>
    <col min="2064" max="2066" width="9.28515625" style="294" customWidth="1"/>
    <col min="2067" max="2075" width="0" style="294" hidden="1" customWidth="1"/>
    <col min="2076" max="2078" width="9.28515625" style="294" customWidth="1"/>
    <col min="2079" max="2087" width="0" style="294" hidden="1" customWidth="1"/>
    <col min="2088" max="2090" width="9.28515625" style="294" customWidth="1"/>
    <col min="2091" max="2099" width="0" style="294" hidden="1" customWidth="1"/>
    <col min="2100" max="2304" width="9.140625" style="294"/>
    <col min="2305" max="2305" width="2.7109375" style="294" bestFit="1" customWidth="1"/>
    <col min="2306" max="2307" width="3.42578125" style="294" bestFit="1" customWidth="1"/>
    <col min="2308" max="2308" width="39" style="294" bestFit="1" customWidth="1"/>
    <col min="2309" max="2310" width="9.28515625" style="294" customWidth="1"/>
    <col min="2311" max="2319" width="0" style="294" hidden="1" customWidth="1"/>
    <col min="2320" max="2322" width="9.28515625" style="294" customWidth="1"/>
    <col min="2323" max="2331" width="0" style="294" hidden="1" customWidth="1"/>
    <col min="2332" max="2334" width="9.28515625" style="294" customWidth="1"/>
    <col min="2335" max="2343" width="0" style="294" hidden="1" customWidth="1"/>
    <col min="2344" max="2346" width="9.28515625" style="294" customWidth="1"/>
    <col min="2347" max="2355" width="0" style="294" hidden="1" customWidth="1"/>
    <col min="2356" max="2560" width="9.140625" style="294"/>
    <col min="2561" max="2561" width="2.7109375" style="294" bestFit="1" customWidth="1"/>
    <col min="2562" max="2563" width="3.42578125" style="294" bestFit="1" customWidth="1"/>
    <col min="2564" max="2564" width="39" style="294" bestFit="1" customWidth="1"/>
    <col min="2565" max="2566" width="9.28515625" style="294" customWidth="1"/>
    <col min="2567" max="2575" width="0" style="294" hidden="1" customWidth="1"/>
    <col min="2576" max="2578" width="9.28515625" style="294" customWidth="1"/>
    <col min="2579" max="2587" width="0" style="294" hidden="1" customWidth="1"/>
    <col min="2588" max="2590" width="9.28515625" style="294" customWidth="1"/>
    <col min="2591" max="2599" width="0" style="294" hidden="1" customWidth="1"/>
    <col min="2600" max="2602" width="9.28515625" style="294" customWidth="1"/>
    <col min="2603" max="2611" width="0" style="294" hidden="1" customWidth="1"/>
    <col min="2612" max="2816" width="9.140625" style="294"/>
    <col min="2817" max="2817" width="2.7109375" style="294" bestFit="1" customWidth="1"/>
    <col min="2818" max="2819" width="3.42578125" style="294" bestFit="1" customWidth="1"/>
    <col min="2820" max="2820" width="39" style="294" bestFit="1" customWidth="1"/>
    <col min="2821" max="2822" width="9.28515625" style="294" customWidth="1"/>
    <col min="2823" max="2831" width="0" style="294" hidden="1" customWidth="1"/>
    <col min="2832" max="2834" width="9.28515625" style="294" customWidth="1"/>
    <col min="2835" max="2843" width="0" style="294" hidden="1" customWidth="1"/>
    <col min="2844" max="2846" width="9.28515625" style="294" customWidth="1"/>
    <col min="2847" max="2855" width="0" style="294" hidden="1" customWidth="1"/>
    <col min="2856" max="2858" width="9.28515625" style="294" customWidth="1"/>
    <col min="2859" max="2867" width="0" style="294" hidden="1" customWidth="1"/>
    <col min="2868" max="3072" width="9.140625" style="294"/>
    <col min="3073" max="3073" width="2.7109375" style="294" bestFit="1" customWidth="1"/>
    <col min="3074" max="3075" width="3.42578125" style="294" bestFit="1" customWidth="1"/>
    <col min="3076" max="3076" width="39" style="294" bestFit="1" customWidth="1"/>
    <col min="3077" max="3078" width="9.28515625" style="294" customWidth="1"/>
    <col min="3079" max="3087" width="0" style="294" hidden="1" customWidth="1"/>
    <col min="3088" max="3090" width="9.28515625" style="294" customWidth="1"/>
    <col min="3091" max="3099" width="0" style="294" hidden="1" customWidth="1"/>
    <col min="3100" max="3102" width="9.28515625" style="294" customWidth="1"/>
    <col min="3103" max="3111" width="0" style="294" hidden="1" customWidth="1"/>
    <col min="3112" max="3114" width="9.28515625" style="294" customWidth="1"/>
    <col min="3115" max="3123" width="0" style="294" hidden="1" customWidth="1"/>
    <col min="3124" max="3328" width="9.140625" style="294"/>
    <col min="3329" max="3329" width="2.7109375" style="294" bestFit="1" customWidth="1"/>
    <col min="3330" max="3331" width="3.42578125" style="294" bestFit="1" customWidth="1"/>
    <col min="3332" max="3332" width="39" style="294" bestFit="1" customWidth="1"/>
    <col min="3333" max="3334" width="9.28515625" style="294" customWidth="1"/>
    <col min="3335" max="3343" width="0" style="294" hidden="1" customWidth="1"/>
    <col min="3344" max="3346" width="9.28515625" style="294" customWidth="1"/>
    <col min="3347" max="3355" width="0" style="294" hidden="1" customWidth="1"/>
    <col min="3356" max="3358" width="9.28515625" style="294" customWidth="1"/>
    <col min="3359" max="3367" width="0" style="294" hidden="1" customWidth="1"/>
    <col min="3368" max="3370" width="9.28515625" style="294" customWidth="1"/>
    <col min="3371" max="3379" width="0" style="294" hidden="1" customWidth="1"/>
    <col min="3380" max="3584" width="9.140625" style="294"/>
    <col min="3585" max="3585" width="2.7109375" style="294" bestFit="1" customWidth="1"/>
    <col min="3586" max="3587" width="3.42578125" style="294" bestFit="1" customWidth="1"/>
    <col min="3588" max="3588" width="39" style="294" bestFit="1" customWidth="1"/>
    <col min="3589" max="3590" width="9.28515625" style="294" customWidth="1"/>
    <col min="3591" max="3599" width="0" style="294" hidden="1" customWidth="1"/>
    <col min="3600" max="3602" width="9.28515625" style="294" customWidth="1"/>
    <col min="3603" max="3611" width="0" style="294" hidden="1" customWidth="1"/>
    <col min="3612" max="3614" width="9.28515625" style="294" customWidth="1"/>
    <col min="3615" max="3623" width="0" style="294" hidden="1" customWidth="1"/>
    <col min="3624" max="3626" width="9.28515625" style="294" customWidth="1"/>
    <col min="3627" max="3635" width="0" style="294" hidden="1" customWidth="1"/>
    <col min="3636" max="3840" width="9.140625" style="294"/>
    <col min="3841" max="3841" width="2.7109375" style="294" bestFit="1" customWidth="1"/>
    <col min="3842" max="3843" width="3.42578125" style="294" bestFit="1" customWidth="1"/>
    <col min="3844" max="3844" width="39" style="294" bestFit="1" customWidth="1"/>
    <col min="3845" max="3846" width="9.28515625" style="294" customWidth="1"/>
    <col min="3847" max="3855" width="0" style="294" hidden="1" customWidth="1"/>
    <col min="3856" max="3858" width="9.28515625" style="294" customWidth="1"/>
    <col min="3859" max="3867" width="0" style="294" hidden="1" customWidth="1"/>
    <col min="3868" max="3870" width="9.28515625" style="294" customWidth="1"/>
    <col min="3871" max="3879" width="0" style="294" hidden="1" customWidth="1"/>
    <col min="3880" max="3882" width="9.28515625" style="294" customWidth="1"/>
    <col min="3883" max="3891" width="0" style="294" hidden="1" customWidth="1"/>
    <col min="3892" max="4096" width="9.140625" style="294"/>
    <col min="4097" max="4097" width="2.7109375" style="294" bestFit="1" customWidth="1"/>
    <col min="4098" max="4099" width="3.42578125" style="294" bestFit="1" customWidth="1"/>
    <col min="4100" max="4100" width="39" style="294" bestFit="1" customWidth="1"/>
    <col min="4101" max="4102" width="9.28515625" style="294" customWidth="1"/>
    <col min="4103" max="4111" width="0" style="294" hidden="1" customWidth="1"/>
    <col min="4112" max="4114" width="9.28515625" style="294" customWidth="1"/>
    <col min="4115" max="4123" width="0" style="294" hidden="1" customWidth="1"/>
    <col min="4124" max="4126" width="9.28515625" style="294" customWidth="1"/>
    <col min="4127" max="4135" width="0" style="294" hidden="1" customWidth="1"/>
    <col min="4136" max="4138" width="9.28515625" style="294" customWidth="1"/>
    <col min="4139" max="4147" width="0" style="294" hidden="1" customWidth="1"/>
    <col min="4148" max="4352" width="9.140625" style="294"/>
    <col min="4353" max="4353" width="2.7109375" style="294" bestFit="1" customWidth="1"/>
    <col min="4354" max="4355" width="3.42578125" style="294" bestFit="1" customWidth="1"/>
    <col min="4356" max="4356" width="39" style="294" bestFit="1" customWidth="1"/>
    <col min="4357" max="4358" width="9.28515625" style="294" customWidth="1"/>
    <col min="4359" max="4367" width="0" style="294" hidden="1" customWidth="1"/>
    <col min="4368" max="4370" width="9.28515625" style="294" customWidth="1"/>
    <col min="4371" max="4379" width="0" style="294" hidden="1" customWidth="1"/>
    <col min="4380" max="4382" width="9.28515625" style="294" customWidth="1"/>
    <col min="4383" max="4391" width="0" style="294" hidden="1" customWidth="1"/>
    <col min="4392" max="4394" width="9.28515625" style="294" customWidth="1"/>
    <col min="4395" max="4403" width="0" style="294" hidden="1" customWidth="1"/>
    <col min="4404" max="4608" width="9.140625" style="294"/>
    <col min="4609" max="4609" width="2.7109375" style="294" bestFit="1" customWidth="1"/>
    <col min="4610" max="4611" width="3.42578125" style="294" bestFit="1" customWidth="1"/>
    <col min="4612" max="4612" width="39" style="294" bestFit="1" customWidth="1"/>
    <col min="4613" max="4614" width="9.28515625" style="294" customWidth="1"/>
    <col min="4615" max="4623" width="0" style="294" hidden="1" customWidth="1"/>
    <col min="4624" max="4626" width="9.28515625" style="294" customWidth="1"/>
    <col min="4627" max="4635" width="0" style="294" hidden="1" customWidth="1"/>
    <col min="4636" max="4638" width="9.28515625" style="294" customWidth="1"/>
    <col min="4639" max="4647" width="0" style="294" hidden="1" customWidth="1"/>
    <col min="4648" max="4650" width="9.28515625" style="294" customWidth="1"/>
    <col min="4651" max="4659" width="0" style="294" hidden="1" customWidth="1"/>
    <col min="4660" max="4864" width="9.140625" style="294"/>
    <col min="4865" max="4865" width="2.7109375" style="294" bestFit="1" customWidth="1"/>
    <col min="4866" max="4867" width="3.42578125" style="294" bestFit="1" customWidth="1"/>
    <col min="4868" max="4868" width="39" style="294" bestFit="1" customWidth="1"/>
    <col min="4869" max="4870" width="9.28515625" style="294" customWidth="1"/>
    <col min="4871" max="4879" width="0" style="294" hidden="1" customWidth="1"/>
    <col min="4880" max="4882" width="9.28515625" style="294" customWidth="1"/>
    <col min="4883" max="4891" width="0" style="294" hidden="1" customWidth="1"/>
    <col min="4892" max="4894" width="9.28515625" style="294" customWidth="1"/>
    <col min="4895" max="4903" width="0" style="294" hidden="1" customWidth="1"/>
    <col min="4904" max="4906" width="9.28515625" style="294" customWidth="1"/>
    <col min="4907" max="4915" width="0" style="294" hidden="1" customWidth="1"/>
    <col min="4916" max="5120" width="9.140625" style="294"/>
    <col min="5121" max="5121" width="2.7109375" style="294" bestFit="1" customWidth="1"/>
    <col min="5122" max="5123" width="3.42578125" style="294" bestFit="1" customWidth="1"/>
    <col min="5124" max="5124" width="39" style="294" bestFit="1" customWidth="1"/>
    <col min="5125" max="5126" width="9.28515625" style="294" customWidth="1"/>
    <col min="5127" max="5135" width="0" style="294" hidden="1" customWidth="1"/>
    <col min="5136" max="5138" width="9.28515625" style="294" customWidth="1"/>
    <col min="5139" max="5147" width="0" style="294" hidden="1" customWidth="1"/>
    <col min="5148" max="5150" width="9.28515625" style="294" customWidth="1"/>
    <col min="5151" max="5159" width="0" style="294" hidden="1" customWidth="1"/>
    <col min="5160" max="5162" width="9.28515625" style="294" customWidth="1"/>
    <col min="5163" max="5171" width="0" style="294" hidden="1" customWidth="1"/>
    <col min="5172" max="5376" width="9.140625" style="294"/>
    <col min="5377" max="5377" width="2.7109375" style="294" bestFit="1" customWidth="1"/>
    <col min="5378" max="5379" width="3.42578125" style="294" bestFit="1" customWidth="1"/>
    <col min="5380" max="5380" width="39" style="294" bestFit="1" customWidth="1"/>
    <col min="5381" max="5382" width="9.28515625" style="294" customWidth="1"/>
    <col min="5383" max="5391" width="0" style="294" hidden="1" customWidth="1"/>
    <col min="5392" max="5394" width="9.28515625" style="294" customWidth="1"/>
    <col min="5395" max="5403" width="0" style="294" hidden="1" customWidth="1"/>
    <col min="5404" max="5406" width="9.28515625" style="294" customWidth="1"/>
    <col min="5407" max="5415" width="0" style="294" hidden="1" customWidth="1"/>
    <col min="5416" max="5418" width="9.28515625" style="294" customWidth="1"/>
    <col min="5419" max="5427" width="0" style="294" hidden="1" customWidth="1"/>
    <col min="5428" max="5632" width="9.140625" style="294"/>
    <col min="5633" max="5633" width="2.7109375" style="294" bestFit="1" customWidth="1"/>
    <col min="5634" max="5635" width="3.42578125" style="294" bestFit="1" customWidth="1"/>
    <col min="5636" max="5636" width="39" style="294" bestFit="1" customWidth="1"/>
    <col min="5637" max="5638" width="9.28515625" style="294" customWidth="1"/>
    <col min="5639" max="5647" width="0" style="294" hidden="1" customWidth="1"/>
    <col min="5648" max="5650" width="9.28515625" style="294" customWidth="1"/>
    <col min="5651" max="5659" width="0" style="294" hidden="1" customWidth="1"/>
    <col min="5660" max="5662" width="9.28515625" style="294" customWidth="1"/>
    <col min="5663" max="5671" width="0" style="294" hidden="1" customWidth="1"/>
    <col min="5672" max="5674" width="9.28515625" style="294" customWidth="1"/>
    <col min="5675" max="5683" width="0" style="294" hidden="1" customWidth="1"/>
    <col min="5684" max="5888" width="9.140625" style="294"/>
    <col min="5889" max="5889" width="2.7109375" style="294" bestFit="1" customWidth="1"/>
    <col min="5890" max="5891" width="3.42578125" style="294" bestFit="1" customWidth="1"/>
    <col min="5892" max="5892" width="39" style="294" bestFit="1" customWidth="1"/>
    <col min="5893" max="5894" width="9.28515625" style="294" customWidth="1"/>
    <col min="5895" max="5903" width="0" style="294" hidden="1" customWidth="1"/>
    <col min="5904" max="5906" width="9.28515625" style="294" customWidth="1"/>
    <col min="5907" max="5915" width="0" style="294" hidden="1" customWidth="1"/>
    <col min="5916" max="5918" width="9.28515625" style="294" customWidth="1"/>
    <col min="5919" max="5927" width="0" style="294" hidden="1" customWidth="1"/>
    <col min="5928" max="5930" width="9.28515625" style="294" customWidth="1"/>
    <col min="5931" max="5939" width="0" style="294" hidden="1" customWidth="1"/>
    <col min="5940" max="6144" width="9.140625" style="294"/>
    <col min="6145" max="6145" width="2.7109375" style="294" bestFit="1" customWidth="1"/>
    <col min="6146" max="6147" width="3.42578125" style="294" bestFit="1" customWidth="1"/>
    <col min="6148" max="6148" width="39" style="294" bestFit="1" customWidth="1"/>
    <col min="6149" max="6150" width="9.28515625" style="294" customWidth="1"/>
    <col min="6151" max="6159" width="0" style="294" hidden="1" customWidth="1"/>
    <col min="6160" max="6162" width="9.28515625" style="294" customWidth="1"/>
    <col min="6163" max="6171" width="0" style="294" hidden="1" customWidth="1"/>
    <col min="6172" max="6174" width="9.28515625" style="294" customWidth="1"/>
    <col min="6175" max="6183" width="0" style="294" hidden="1" customWidth="1"/>
    <col min="6184" max="6186" width="9.28515625" style="294" customWidth="1"/>
    <col min="6187" max="6195" width="0" style="294" hidden="1" customWidth="1"/>
    <col min="6196" max="6400" width="9.140625" style="294"/>
    <col min="6401" max="6401" width="2.7109375" style="294" bestFit="1" customWidth="1"/>
    <col min="6402" max="6403" width="3.42578125" style="294" bestFit="1" customWidth="1"/>
    <col min="6404" max="6404" width="39" style="294" bestFit="1" customWidth="1"/>
    <col min="6405" max="6406" width="9.28515625" style="294" customWidth="1"/>
    <col min="6407" max="6415" width="0" style="294" hidden="1" customWidth="1"/>
    <col min="6416" max="6418" width="9.28515625" style="294" customWidth="1"/>
    <col min="6419" max="6427" width="0" style="294" hidden="1" customWidth="1"/>
    <col min="6428" max="6430" width="9.28515625" style="294" customWidth="1"/>
    <col min="6431" max="6439" width="0" style="294" hidden="1" customWidth="1"/>
    <col min="6440" max="6442" width="9.28515625" style="294" customWidth="1"/>
    <col min="6443" max="6451" width="0" style="294" hidden="1" customWidth="1"/>
    <col min="6452" max="6656" width="9.140625" style="294"/>
    <col min="6657" max="6657" width="2.7109375" style="294" bestFit="1" customWidth="1"/>
    <col min="6658" max="6659" width="3.42578125" style="294" bestFit="1" customWidth="1"/>
    <col min="6660" max="6660" width="39" style="294" bestFit="1" customWidth="1"/>
    <col min="6661" max="6662" width="9.28515625" style="294" customWidth="1"/>
    <col min="6663" max="6671" width="0" style="294" hidden="1" customWidth="1"/>
    <col min="6672" max="6674" width="9.28515625" style="294" customWidth="1"/>
    <col min="6675" max="6683" width="0" style="294" hidden="1" customWidth="1"/>
    <col min="6684" max="6686" width="9.28515625" style="294" customWidth="1"/>
    <col min="6687" max="6695" width="0" style="294" hidden="1" customWidth="1"/>
    <col min="6696" max="6698" width="9.28515625" style="294" customWidth="1"/>
    <col min="6699" max="6707" width="0" style="294" hidden="1" customWidth="1"/>
    <col min="6708" max="6912" width="9.140625" style="294"/>
    <col min="6913" max="6913" width="2.7109375" style="294" bestFit="1" customWidth="1"/>
    <col min="6914" max="6915" width="3.42578125" style="294" bestFit="1" customWidth="1"/>
    <col min="6916" max="6916" width="39" style="294" bestFit="1" customWidth="1"/>
    <col min="6917" max="6918" width="9.28515625" style="294" customWidth="1"/>
    <col min="6919" max="6927" width="0" style="294" hidden="1" customWidth="1"/>
    <col min="6928" max="6930" width="9.28515625" style="294" customWidth="1"/>
    <col min="6931" max="6939" width="0" style="294" hidden="1" customWidth="1"/>
    <col min="6940" max="6942" width="9.28515625" style="294" customWidth="1"/>
    <col min="6943" max="6951" width="0" style="294" hidden="1" customWidth="1"/>
    <col min="6952" max="6954" width="9.28515625" style="294" customWidth="1"/>
    <col min="6955" max="6963" width="0" style="294" hidden="1" customWidth="1"/>
    <col min="6964" max="7168" width="9.140625" style="294"/>
    <col min="7169" max="7169" width="2.7109375" style="294" bestFit="1" customWidth="1"/>
    <col min="7170" max="7171" width="3.42578125" style="294" bestFit="1" customWidth="1"/>
    <col min="7172" max="7172" width="39" style="294" bestFit="1" customWidth="1"/>
    <col min="7173" max="7174" width="9.28515625" style="294" customWidth="1"/>
    <col min="7175" max="7183" width="0" style="294" hidden="1" customWidth="1"/>
    <col min="7184" max="7186" width="9.28515625" style="294" customWidth="1"/>
    <col min="7187" max="7195" width="0" style="294" hidden="1" customWidth="1"/>
    <col min="7196" max="7198" width="9.28515625" style="294" customWidth="1"/>
    <col min="7199" max="7207" width="0" style="294" hidden="1" customWidth="1"/>
    <col min="7208" max="7210" width="9.28515625" style="294" customWidth="1"/>
    <col min="7211" max="7219" width="0" style="294" hidden="1" customWidth="1"/>
    <col min="7220" max="7424" width="9.140625" style="294"/>
    <col min="7425" max="7425" width="2.7109375" style="294" bestFit="1" customWidth="1"/>
    <col min="7426" max="7427" width="3.42578125" style="294" bestFit="1" customWidth="1"/>
    <col min="7428" max="7428" width="39" style="294" bestFit="1" customWidth="1"/>
    <col min="7429" max="7430" width="9.28515625" style="294" customWidth="1"/>
    <col min="7431" max="7439" width="0" style="294" hidden="1" customWidth="1"/>
    <col min="7440" max="7442" width="9.28515625" style="294" customWidth="1"/>
    <col min="7443" max="7451" width="0" style="294" hidden="1" customWidth="1"/>
    <col min="7452" max="7454" width="9.28515625" style="294" customWidth="1"/>
    <col min="7455" max="7463" width="0" style="294" hidden="1" customWidth="1"/>
    <col min="7464" max="7466" width="9.28515625" style="294" customWidth="1"/>
    <col min="7467" max="7475" width="0" style="294" hidden="1" customWidth="1"/>
    <col min="7476" max="7680" width="9.140625" style="294"/>
    <col min="7681" max="7681" width="2.7109375" style="294" bestFit="1" customWidth="1"/>
    <col min="7682" max="7683" width="3.42578125" style="294" bestFit="1" customWidth="1"/>
    <col min="7684" max="7684" width="39" style="294" bestFit="1" customWidth="1"/>
    <col min="7685" max="7686" width="9.28515625" style="294" customWidth="1"/>
    <col min="7687" max="7695" width="0" style="294" hidden="1" customWidth="1"/>
    <col min="7696" max="7698" width="9.28515625" style="294" customWidth="1"/>
    <col min="7699" max="7707" width="0" style="294" hidden="1" customWidth="1"/>
    <col min="7708" max="7710" width="9.28515625" style="294" customWidth="1"/>
    <col min="7711" max="7719" width="0" style="294" hidden="1" customWidth="1"/>
    <col min="7720" max="7722" width="9.28515625" style="294" customWidth="1"/>
    <col min="7723" max="7731" width="0" style="294" hidden="1" customWidth="1"/>
    <col min="7732" max="7936" width="9.140625" style="294"/>
    <col min="7937" max="7937" width="2.7109375" style="294" bestFit="1" customWidth="1"/>
    <col min="7938" max="7939" width="3.42578125" style="294" bestFit="1" customWidth="1"/>
    <col min="7940" max="7940" width="39" style="294" bestFit="1" customWidth="1"/>
    <col min="7941" max="7942" width="9.28515625" style="294" customWidth="1"/>
    <col min="7943" max="7951" width="0" style="294" hidden="1" customWidth="1"/>
    <col min="7952" max="7954" width="9.28515625" style="294" customWidth="1"/>
    <col min="7955" max="7963" width="0" style="294" hidden="1" customWidth="1"/>
    <col min="7964" max="7966" width="9.28515625" style="294" customWidth="1"/>
    <col min="7967" max="7975" width="0" style="294" hidden="1" customWidth="1"/>
    <col min="7976" max="7978" width="9.28515625" style="294" customWidth="1"/>
    <col min="7979" max="7987" width="0" style="294" hidden="1" customWidth="1"/>
    <col min="7988" max="8192" width="9.140625" style="294"/>
    <col min="8193" max="8193" width="2.7109375" style="294" bestFit="1" customWidth="1"/>
    <col min="8194" max="8195" width="3.42578125" style="294" bestFit="1" customWidth="1"/>
    <col min="8196" max="8196" width="39" style="294" bestFit="1" customWidth="1"/>
    <col min="8197" max="8198" width="9.28515625" style="294" customWidth="1"/>
    <col min="8199" max="8207" width="0" style="294" hidden="1" customWidth="1"/>
    <col min="8208" max="8210" width="9.28515625" style="294" customWidth="1"/>
    <col min="8211" max="8219" width="0" style="294" hidden="1" customWidth="1"/>
    <col min="8220" max="8222" width="9.28515625" style="294" customWidth="1"/>
    <col min="8223" max="8231" width="0" style="294" hidden="1" customWidth="1"/>
    <col min="8232" max="8234" width="9.28515625" style="294" customWidth="1"/>
    <col min="8235" max="8243" width="0" style="294" hidden="1" customWidth="1"/>
    <col min="8244" max="8448" width="9.140625" style="294"/>
    <col min="8449" max="8449" width="2.7109375" style="294" bestFit="1" customWidth="1"/>
    <col min="8450" max="8451" width="3.42578125" style="294" bestFit="1" customWidth="1"/>
    <col min="8452" max="8452" width="39" style="294" bestFit="1" customWidth="1"/>
    <col min="8453" max="8454" width="9.28515625" style="294" customWidth="1"/>
    <col min="8455" max="8463" width="0" style="294" hidden="1" customWidth="1"/>
    <col min="8464" max="8466" width="9.28515625" style="294" customWidth="1"/>
    <col min="8467" max="8475" width="0" style="294" hidden="1" customWidth="1"/>
    <col min="8476" max="8478" width="9.28515625" style="294" customWidth="1"/>
    <col min="8479" max="8487" width="0" style="294" hidden="1" customWidth="1"/>
    <col min="8488" max="8490" width="9.28515625" style="294" customWidth="1"/>
    <col min="8491" max="8499" width="0" style="294" hidden="1" customWidth="1"/>
    <col min="8500" max="8704" width="9.140625" style="294"/>
    <col min="8705" max="8705" width="2.7109375" style="294" bestFit="1" customWidth="1"/>
    <col min="8706" max="8707" width="3.42578125" style="294" bestFit="1" customWidth="1"/>
    <col min="8708" max="8708" width="39" style="294" bestFit="1" customWidth="1"/>
    <col min="8709" max="8710" width="9.28515625" style="294" customWidth="1"/>
    <col min="8711" max="8719" width="0" style="294" hidden="1" customWidth="1"/>
    <col min="8720" max="8722" width="9.28515625" style="294" customWidth="1"/>
    <col min="8723" max="8731" width="0" style="294" hidden="1" customWidth="1"/>
    <col min="8732" max="8734" width="9.28515625" style="294" customWidth="1"/>
    <col min="8735" max="8743" width="0" style="294" hidden="1" customWidth="1"/>
    <col min="8744" max="8746" width="9.28515625" style="294" customWidth="1"/>
    <col min="8747" max="8755" width="0" style="294" hidden="1" customWidth="1"/>
    <col min="8756" max="8960" width="9.140625" style="294"/>
    <col min="8961" max="8961" width="2.7109375" style="294" bestFit="1" customWidth="1"/>
    <col min="8962" max="8963" width="3.42578125" style="294" bestFit="1" customWidth="1"/>
    <col min="8964" max="8964" width="39" style="294" bestFit="1" customWidth="1"/>
    <col min="8965" max="8966" width="9.28515625" style="294" customWidth="1"/>
    <col min="8967" max="8975" width="0" style="294" hidden="1" customWidth="1"/>
    <col min="8976" max="8978" width="9.28515625" style="294" customWidth="1"/>
    <col min="8979" max="8987" width="0" style="294" hidden="1" customWidth="1"/>
    <col min="8988" max="8990" width="9.28515625" style="294" customWidth="1"/>
    <col min="8991" max="8999" width="0" style="294" hidden="1" customWidth="1"/>
    <col min="9000" max="9002" width="9.28515625" style="294" customWidth="1"/>
    <col min="9003" max="9011" width="0" style="294" hidden="1" customWidth="1"/>
    <col min="9012" max="9216" width="9.140625" style="294"/>
    <col min="9217" max="9217" width="2.7109375" style="294" bestFit="1" customWidth="1"/>
    <col min="9218" max="9219" width="3.42578125" style="294" bestFit="1" customWidth="1"/>
    <col min="9220" max="9220" width="39" style="294" bestFit="1" customWidth="1"/>
    <col min="9221" max="9222" width="9.28515625" style="294" customWidth="1"/>
    <col min="9223" max="9231" width="0" style="294" hidden="1" customWidth="1"/>
    <col min="9232" max="9234" width="9.28515625" style="294" customWidth="1"/>
    <col min="9235" max="9243" width="0" style="294" hidden="1" customWidth="1"/>
    <col min="9244" max="9246" width="9.28515625" style="294" customWidth="1"/>
    <col min="9247" max="9255" width="0" style="294" hidden="1" customWidth="1"/>
    <col min="9256" max="9258" width="9.28515625" style="294" customWidth="1"/>
    <col min="9259" max="9267" width="0" style="294" hidden="1" customWidth="1"/>
    <col min="9268" max="9472" width="9.140625" style="294"/>
    <col min="9473" max="9473" width="2.7109375" style="294" bestFit="1" customWidth="1"/>
    <col min="9474" max="9475" width="3.42578125" style="294" bestFit="1" customWidth="1"/>
    <col min="9476" max="9476" width="39" style="294" bestFit="1" customWidth="1"/>
    <col min="9477" max="9478" width="9.28515625" style="294" customWidth="1"/>
    <col min="9479" max="9487" width="0" style="294" hidden="1" customWidth="1"/>
    <col min="9488" max="9490" width="9.28515625" style="294" customWidth="1"/>
    <col min="9491" max="9499" width="0" style="294" hidden="1" customWidth="1"/>
    <col min="9500" max="9502" width="9.28515625" style="294" customWidth="1"/>
    <col min="9503" max="9511" width="0" style="294" hidden="1" customWidth="1"/>
    <col min="9512" max="9514" width="9.28515625" style="294" customWidth="1"/>
    <col min="9515" max="9523" width="0" style="294" hidden="1" customWidth="1"/>
    <col min="9524" max="9728" width="9.140625" style="294"/>
    <col min="9729" max="9729" width="2.7109375" style="294" bestFit="1" customWidth="1"/>
    <col min="9730" max="9731" width="3.42578125" style="294" bestFit="1" customWidth="1"/>
    <col min="9732" max="9732" width="39" style="294" bestFit="1" customWidth="1"/>
    <col min="9733" max="9734" width="9.28515625" style="294" customWidth="1"/>
    <col min="9735" max="9743" width="0" style="294" hidden="1" customWidth="1"/>
    <col min="9744" max="9746" width="9.28515625" style="294" customWidth="1"/>
    <col min="9747" max="9755" width="0" style="294" hidden="1" customWidth="1"/>
    <col min="9756" max="9758" width="9.28515625" style="294" customWidth="1"/>
    <col min="9759" max="9767" width="0" style="294" hidden="1" customWidth="1"/>
    <col min="9768" max="9770" width="9.28515625" style="294" customWidth="1"/>
    <col min="9771" max="9779" width="0" style="294" hidden="1" customWidth="1"/>
    <col min="9780" max="9984" width="9.140625" style="294"/>
    <col min="9985" max="9985" width="2.7109375" style="294" bestFit="1" customWidth="1"/>
    <col min="9986" max="9987" width="3.42578125" style="294" bestFit="1" customWidth="1"/>
    <col min="9988" max="9988" width="39" style="294" bestFit="1" customWidth="1"/>
    <col min="9989" max="9990" width="9.28515625" style="294" customWidth="1"/>
    <col min="9991" max="9999" width="0" style="294" hidden="1" customWidth="1"/>
    <col min="10000" max="10002" width="9.28515625" style="294" customWidth="1"/>
    <col min="10003" max="10011" width="0" style="294" hidden="1" customWidth="1"/>
    <col min="10012" max="10014" width="9.28515625" style="294" customWidth="1"/>
    <col min="10015" max="10023" width="0" style="294" hidden="1" customWidth="1"/>
    <col min="10024" max="10026" width="9.28515625" style="294" customWidth="1"/>
    <col min="10027" max="10035" width="0" style="294" hidden="1" customWidth="1"/>
    <col min="10036" max="10240" width="9.140625" style="294"/>
    <col min="10241" max="10241" width="2.7109375" style="294" bestFit="1" customWidth="1"/>
    <col min="10242" max="10243" width="3.42578125" style="294" bestFit="1" customWidth="1"/>
    <col min="10244" max="10244" width="39" style="294" bestFit="1" customWidth="1"/>
    <col min="10245" max="10246" width="9.28515625" style="294" customWidth="1"/>
    <col min="10247" max="10255" width="0" style="294" hidden="1" customWidth="1"/>
    <col min="10256" max="10258" width="9.28515625" style="294" customWidth="1"/>
    <col min="10259" max="10267" width="0" style="294" hidden="1" customWidth="1"/>
    <col min="10268" max="10270" width="9.28515625" style="294" customWidth="1"/>
    <col min="10271" max="10279" width="0" style="294" hidden="1" customWidth="1"/>
    <col min="10280" max="10282" width="9.28515625" style="294" customWidth="1"/>
    <col min="10283" max="10291" width="0" style="294" hidden="1" customWidth="1"/>
    <col min="10292" max="10496" width="9.140625" style="294"/>
    <col min="10497" max="10497" width="2.7109375" style="294" bestFit="1" customWidth="1"/>
    <col min="10498" max="10499" width="3.42578125" style="294" bestFit="1" customWidth="1"/>
    <col min="10500" max="10500" width="39" style="294" bestFit="1" customWidth="1"/>
    <col min="10501" max="10502" width="9.28515625" style="294" customWidth="1"/>
    <col min="10503" max="10511" width="0" style="294" hidden="1" customWidth="1"/>
    <col min="10512" max="10514" width="9.28515625" style="294" customWidth="1"/>
    <col min="10515" max="10523" width="0" style="294" hidden="1" customWidth="1"/>
    <col min="10524" max="10526" width="9.28515625" style="294" customWidth="1"/>
    <col min="10527" max="10535" width="0" style="294" hidden="1" customWidth="1"/>
    <col min="10536" max="10538" width="9.28515625" style="294" customWidth="1"/>
    <col min="10539" max="10547" width="0" style="294" hidden="1" customWidth="1"/>
    <col min="10548" max="10752" width="9.140625" style="294"/>
    <col min="10753" max="10753" width="2.7109375" style="294" bestFit="1" customWidth="1"/>
    <col min="10754" max="10755" width="3.42578125" style="294" bestFit="1" customWidth="1"/>
    <col min="10756" max="10756" width="39" style="294" bestFit="1" customWidth="1"/>
    <col min="10757" max="10758" width="9.28515625" style="294" customWidth="1"/>
    <col min="10759" max="10767" width="0" style="294" hidden="1" customWidth="1"/>
    <col min="10768" max="10770" width="9.28515625" style="294" customWidth="1"/>
    <col min="10771" max="10779" width="0" style="294" hidden="1" customWidth="1"/>
    <col min="10780" max="10782" width="9.28515625" style="294" customWidth="1"/>
    <col min="10783" max="10791" width="0" style="294" hidden="1" customWidth="1"/>
    <col min="10792" max="10794" width="9.28515625" style="294" customWidth="1"/>
    <col min="10795" max="10803" width="0" style="294" hidden="1" customWidth="1"/>
    <col min="10804" max="11008" width="9.140625" style="294"/>
    <col min="11009" max="11009" width="2.7109375" style="294" bestFit="1" customWidth="1"/>
    <col min="11010" max="11011" width="3.42578125" style="294" bestFit="1" customWidth="1"/>
    <col min="11012" max="11012" width="39" style="294" bestFit="1" customWidth="1"/>
    <col min="11013" max="11014" width="9.28515625" style="294" customWidth="1"/>
    <col min="11015" max="11023" width="0" style="294" hidden="1" customWidth="1"/>
    <col min="11024" max="11026" width="9.28515625" style="294" customWidth="1"/>
    <col min="11027" max="11035" width="0" style="294" hidden="1" customWidth="1"/>
    <col min="11036" max="11038" width="9.28515625" style="294" customWidth="1"/>
    <col min="11039" max="11047" width="0" style="294" hidden="1" customWidth="1"/>
    <col min="11048" max="11050" width="9.28515625" style="294" customWidth="1"/>
    <col min="11051" max="11059" width="0" style="294" hidden="1" customWidth="1"/>
    <col min="11060" max="11264" width="9.140625" style="294"/>
    <col min="11265" max="11265" width="2.7109375" style="294" bestFit="1" customWidth="1"/>
    <col min="11266" max="11267" width="3.42578125" style="294" bestFit="1" customWidth="1"/>
    <col min="11268" max="11268" width="39" style="294" bestFit="1" customWidth="1"/>
    <col min="11269" max="11270" width="9.28515625" style="294" customWidth="1"/>
    <col min="11271" max="11279" width="0" style="294" hidden="1" customWidth="1"/>
    <col min="11280" max="11282" width="9.28515625" style="294" customWidth="1"/>
    <col min="11283" max="11291" width="0" style="294" hidden="1" customWidth="1"/>
    <col min="11292" max="11294" width="9.28515625" style="294" customWidth="1"/>
    <col min="11295" max="11303" width="0" style="294" hidden="1" customWidth="1"/>
    <col min="11304" max="11306" width="9.28515625" style="294" customWidth="1"/>
    <col min="11307" max="11315" width="0" style="294" hidden="1" customWidth="1"/>
    <col min="11316" max="11520" width="9.140625" style="294"/>
    <col min="11521" max="11521" width="2.7109375" style="294" bestFit="1" customWidth="1"/>
    <col min="11522" max="11523" width="3.42578125" style="294" bestFit="1" customWidth="1"/>
    <col min="11524" max="11524" width="39" style="294" bestFit="1" customWidth="1"/>
    <col min="11525" max="11526" width="9.28515625" style="294" customWidth="1"/>
    <col min="11527" max="11535" width="0" style="294" hidden="1" customWidth="1"/>
    <col min="11536" max="11538" width="9.28515625" style="294" customWidth="1"/>
    <col min="11539" max="11547" width="0" style="294" hidden="1" customWidth="1"/>
    <col min="11548" max="11550" width="9.28515625" style="294" customWidth="1"/>
    <col min="11551" max="11559" width="0" style="294" hidden="1" customWidth="1"/>
    <col min="11560" max="11562" width="9.28515625" style="294" customWidth="1"/>
    <col min="11563" max="11571" width="0" style="294" hidden="1" customWidth="1"/>
    <col min="11572" max="11776" width="9.140625" style="294"/>
    <col min="11777" max="11777" width="2.7109375" style="294" bestFit="1" customWidth="1"/>
    <col min="11778" max="11779" width="3.42578125" style="294" bestFit="1" customWidth="1"/>
    <col min="11780" max="11780" width="39" style="294" bestFit="1" customWidth="1"/>
    <col min="11781" max="11782" width="9.28515625" style="294" customWidth="1"/>
    <col min="11783" max="11791" width="0" style="294" hidden="1" customWidth="1"/>
    <col min="11792" max="11794" width="9.28515625" style="294" customWidth="1"/>
    <col min="11795" max="11803" width="0" style="294" hidden="1" customWidth="1"/>
    <col min="11804" max="11806" width="9.28515625" style="294" customWidth="1"/>
    <col min="11807" max="11815" width="0" style="294" hidden="1" customWidth="1"/>
    <col min="11816" max="11818" width="9.28515625" style="294" customWidth="1"/>
    <col min="11819" max="11827" width="0" style="294" hidden="1" customWidth="1"/>
    <col min="11828" max="12032" width="9.140625" style="294"/>
    <col min="12033" max="12033" width="2.7109375" style="294" bestFit="1" customWidth="1"/>
    <col min="12034" max="12035" width="3.42578125" style="294" bestFit="1" customWidth="1"/>
    <col min="12036" max="12036" width="39" style="294" bestFit="1" customWidth="1"/>
    <col min="12037" max="12038" width="9.28515625" style="294" customWidth="1"/>
    <col min="12039" max="12047" width="0" style="294" hidden="1" customWidth="1"/>
    <col min="12048" max="12050" width="9.28515625" style="294" customWidth="1"/>
    <col min="12051" max="12059" width="0" style="294" hidden="1" customWidth="1"/>
    <col min="12060" max="12062" width="9.28515625" style="294" customWidth="1"/>
    <col min="12063" max="12071" width="0" style="294" hidden="1" customWidth="1"/>
    <col min="12072" max="12074" width="9.28515625" style="294" customWidth="1"/>
    <col min="12075" max="12083" width="0" style="294" hidden="1" customWidth="1"/>
    <col min="12084" max="12288" width="9.140625" style="294"/>
    <col min="12289" max="12289" width="2.7109375" style="294" bestFit="1" customWidth="1"/>
    <col min="12290" max="12291" width="3.42578125" style="294" bestFit="1" customWidth="1"/>
    <col min="12292" max="12292" width="39" style="294" bestFit="1" customWidth="1"/>
    <col min="12293" max="12294" width="9.28515625" style="294" customWidth="1"/>
    <col min="12295" max="12303" width="0" style="294" hidden="1" customWidth="1"/>
    <col min="12304" max="12306" width="9.28515625" style="294" customWidth="1"/>
    <col min="12307" max="12315" width="0" style="294" hidden="1" customWidth="1"/>
    <col min="12316" max="12318" width="9.28515625" style="294" customWidth="1"/>
    <col min="12319" max="12327" width="0" style="294" hidden="1" customWidth="1"/>
    <col min="12328" max="12330" width="9.28515625" style="294" customWidth="1"/>
    <col min="12331" max="12339" width="0" style="294" hidden="1" customWidth="1"/>
    <col min="12340" max="12544" width="9.140625" style="294"/>
    <col min="12545" max="12545" width="2.7109375" style="294" bestFit="1" customWidth="1"/>
    <col min="12546" max="12547" width="3.42578125" style="294" bestFit="1" customWidth="1"/>
    <col min="12548" max="12548" width="39" style="294" bestFit="1" customWidth="1"/>
    <col min="12549" max="12550" width="9.28515625" style="294" customWidth="1"/>
    <col min="12551" max="12559" width="0" style="294" hidden="1" customWidth="1"/>
    <col min="12560" max="12562" width="9.28515625" style="294" customWidth="1"/>
    <col min="12563" max="12571" width="0" style="294" hidden="1" customWidth="1"/>
    <col min="12572" max="12574" width="9.28515625" style="294" customWidth="1"/>
    <col min="12575" max="12583" width="0" style="294" hidden="1" customWidth="1"/>
    <col min="12584" max="12586" width="9.28515625" style="294" customWidth="1"/>
    <col min="12587" max="12595" width="0" style="294" hidden="1" customWidth="1"/>
    <col min="12596" max="12800" width="9.140625" style="294"/>
    <col min="12801" max="12801" width="2.7109375" style="294" bestFit="1" customWidth="1"/>
    <col min="12802" max="12803" width="3.42578125" style="294" bestFit="1" customWidth="1"/>
    <col min="12804" max="12804" width="39" style="294" bestFit="1" customWidth="1"/>
    <col min="12805" max="12806" width="9.28515625" style="294" customWidth="1"/>
    <col min="12807" max="12815" width="0" style="294" hidden="1" customWidth="1"/>
    <col min="12816" max="12818" width="9.28515625" style="294" customWidth="1"/>
    <col min="12819" max="12827" width="0" style="294" hidden="1" customWidth="1"/>
    <col min="12828" max="12830" width="9.28515625" style="294" customWidth="1"/>
    <col min="12831" max="12839" width="0" style="294" hidden="1" customWidth="1"/>
    <col min="12840" max="12842" width="9.28515625" style="294" customWidth="1"/>
    <col min="12843" max="12851" width="0" style="294" hidden="1" customWidth="1"/>
    <col min="12852" max="13056" width="9.140625" style="294"/>
    <col min="13057" max="13057" width="2.7109375" style="294" bestFit="1" customWidth="1"/>
    <col min="13058" max="13059" width="3.42578125" style="294" bestFit="1" customWidth="1"/>
    <col min="13060" max="13060" width="39" style="294" bestFit="1" customWidth="1"/>
    <col min="13061" max="13062" width="9.28515625" style="294" customWidth="1"/>
    <col min="13063" max="13071" width="0" style="294" hidden="1" customWidth="1"/>
    <col min="13072" max="13074" width="9.28515625" style="294" customWidth="1"/>
    <col min="13075" max="13083" width="0" style="294" hidden="1" customWidth="1"/>
    <col min="13084" max="13086" width="9.28515625" style="294" customWidth="1"/>
    <col min="13087" max="13095" width="0" style="294" hidden="1" customWidth="1"/>
    <col min="13096" max="13098" width="9.28515625" style="294" customWidth="1"/>
    <col min="13099" max="13107" width="0" style="294" hidden="1" customWidth="1"/>
    <col min="13108" max="13312" width="9.140625" style="294"/>
    <col min="13313" max="13313" width="2.7109375" style="294" bestFit="1" customWidth="1"/>
    <col min="13314" max="13315" width="3.42578125" style="294" bestFit="1" customWidth="1"/>
    <col min="13316" max="13316" width="39" style="294" bestFit="1" customWidth="1"/>
    <col min="13317" max="13318" width="9.28515625" style="294" customWidth="1"/>
    <col min="13319" max="13327" width="0" style="294" hidden="1" customWidth="1"/>
    <col min="13328" max="13330" width="9.28515625" style="294" customWidth="1"/>
    <col min="13331" max="13339" width="0" style="294" hidden="1" customWidth="1"/>
    <col min="13340" max="13342" width="9.28515625" style="294" customWidth="1"/>
    <col min="13343" max="13351" width="0" style="294" hidden="1" customWidth="1"/>
    <col min="13352" max="13354" width="9.28515625" style="294" customWidth="1"/>
    <col min="13355" max="13363" width="0" style="294" hidden="1" customWidth="1"/>
    <col min="13364" max="13568" width="9.140625" style="294"/>
    <col min="13569" max="13569" width="2.7109375" style="294" bestFit="1" customWidth="1"/>
    <col min="13570" max="13571" width="3.42578125" style="294" bestFit="1" customWidth="1"/>
    <col min="13572" max="13572" width="39" style="294" bestFit="1" customWidth="1"/>
    <col min="13573" max="13574" width="9.28515625" style="294" customWidth="1"/>
    <col min="13575" max="13583" width="0" style="294" hidden="1" customWidth="1"/>
    <col min="13584" max="13586" width="9.28515625" style="294" customWidth="1"/>
    <col min="13587" max="13595" width="0" style="294" hidden="1" customWidth="1"/>
    <col min="13596" max="13598" width="9.28515625" style="294" customWidth="1"/>
    <col min="13599" max="13607" width="0" style="294" hidden="1" customWidth="1"/>
    <col min="13608" max="13610" width="9.28515625" style="294" customWidth="1"/>
    <col min="13611" max="13619" width="0" style="294" hidden="1" customWidth="1"/>
    <col min="13620" max="13824" width="9.140625" style="294"/>
    <col min="13825" max="13825" width="2.7109375" style="294" bestFit="1" customWidth="1"/>
    <col min="13826" max="13827" width="3.42578125" style="294" bestFit="1" customWidth="1"/>
    <col min="13828" max="13828" width="39" style="294" bestFit="1" customWidth="1"/>
    <col min="13829" max="13830" width="9.28515625" style="294" customWidth="1"/>
    <col min="13831" max="13839" width="0" style="294" hidden="1" customWidth="1"/>
    <col min="13840" max="13842" width="9.28515625" style="294" customWidth="1"/>
    <col min="13843" max="13851" width="0" style="294" hidden="1" customWidth="1"/>
    <col min="13852" max="13854" width="9.28515625" style="294" customWidth="1"/>
    <col min="13855" max="13863" width="0" style="294" hidden="1" customWidth="1"/>
    <col min="13864" max="13866" width="9.28515625" style="294" customWidth="1"/>
    <col min="13867" max="13875" width="0" style="294" hidden="1" customWidth="1"/>
    <col min="13876" max="14080" width="9.140625" style="294"/>
    <col min="14081" max="14081" width="2.7109375" style="294" bestFit="1" customWidth="1"/>
    <col min="14082" max="14083" width="3.42578125" style="294" bestFit="1" customWidth="1"/>
    <col min="14084" max="14084" width="39" style="294" bestFit="1" customWidth="1"/>
    <col min="14085" max="14086" width="9.28515625" style="294" customWidth="1"/>
    <col min="14087" max="14095" width="0" style="294" hidden="1" customWidth="1"/>
    <col min="14096" max="14098" width="9.28515625" style="294" customWidth="1"/>
    <col min="14099" max="14107" width="0" style="294" hidden="1" customWidth="1"/>
    <col min="14108" max="14110" width="9.28515625" style="294" customWidth="1"/>
    <col min="14111" max="14119" width="0" style="294" hidden="1" customWidth="1"/>
    <col min="14120" max="14122" width="9.28515625" style="294" customWidth="1"/>
    <col min="14123" max="14131" width="0" style="294" hidden="1" customWidth="1"/>
    <col min="14132" max="14336" width="9.140625" style="294"/>
    <col min="14337" max="14337" width="2.7109375" style="294" bestFit="1" customWidth="1"/>
    <col min="14338" max="14339" width="3.42578125" style="294" bestFit="1" customWidth="1"/>
    <col min="14340" max="14340" width="39" style="294" bestFit="1" customWidth="1"/>
    <col min="14341" max="14342" width="9.28515625" style="294" customWidth="1"/>
    <col min="14343" max="14351" width="0" style="294" hidden="1" customWidth="1"/>
    <col min="14352" max="14354" width="9.28515625" style="294" customWidth="1"/>
    <col min="14355" max="14363" width="0" style="294" hidden="1" customWidth="1"/>
    <col min="14364" max="14366" width="9.28515625" style="294" customWidth="1"/>
    <col min="14367" max="14375" width="0" style="294" hidden="1" customWidth="1"/>
    <col min="14376" max="14378" width="9.28515625" style="294" customWidth="1"/>
    <col min="14379" max="14387" width="0" style="294" hidden="1" customWidth="1"/>
    <col min="14388" max="14592" width="9.140625" style="294"/>
    <col min="14593" max="14593" width="2.7109375" style="294" bestFit="1" customWidth="1"/>
    <col min="14594" max="14595" width="3.42578125" style="294" bestFit="1" customWidth="1"/>
    <col min="14596" max="14596" width="39" style="294" bestFit="1" customWidth="1"/>
    <col min="14597" max="14598" width="9.28515625" style="294" customWidth="1"/>
    <col min="14599" max="14607" width="0" style="294" hidden="1" customWidth="1"/>
    <col min="14608" max="14610" width="9.28515625" style="294" customWidth="1"/>
    <col min="14611" max="14619" width="0" style="294" hidden="1" customWidth="1"/>
    <col min="14620" max="14622" width="9.28515625" style="294" customWidth="1"/>
    <col min="14623" max="14631" width="0" style="294" hidden="1" customWidth="1"/>
    <col min="14632" max="14634" width="9.28515625" style="294" customWidth="1"/>
    <col min="14635" max="14643" width="0" style="294" hidden="1" customWidth="1"/>
    <col min="14644" max="14848" width="9.140625" style="294"/>
    <col min="14849" max="14849" width="2.7109375" style="294" bestFit="1" customWidth="1"/>
    <col min="14850" max="14851" width="3.42578125" style="294" bestFit="1" customWidth="1"/>
    <col min="14852" max="14852" width="39" style="294" bestFit="1" customWidth="1"/>
    <col min="14853" max="14854" width="9.28515625" style="294" customWidth="1"/>
    <col min="14855" max="14863" width="0" style="294" hidden="1" customWidth="1"/>
    <col min="14864" max="14866" width="9.28515625" style="294" customWidth="1"/>
    <col min="14867" max="14875" width="0" style="294" hidden="1" customWidth="1"/>
    <col min="14876" max="14878" width="9.28515625" style="294" customWidth="1"/>
    <col min="14879" max="14887" width="0" style="294" hidden="1" customWidth="1"/>
    <col min="14888" max="14890" width="9.28515625" style="294" customWidth="1"/>
    <col min="14891" max="14899" width="0" style="294" hidden="1" customWidth="1"/>
    <col min="14900" max="15104" width="9.140625" style="294"/>
    <col min="15105" max="15105" width="2.7109375" style="294" bestFit="1" customWidth="1"/>
    <col min="15106" max="15107" width="3.42578125" style="294" bestFit="1" customWidth="1"/>
    <col min="15108" max="15108" width="39" style="294" bestFit="1" customWidth="1"/>
    <col min="15109" max="15110" width="9.28515625" style="294" customWidth="1"/>
    <col min="15111" max="15119" width="0" style="294" hidden="1" customWidth="1"/>
    <col min="15120" max="15122" width="9.28515625" style="294" customWidth="1"/>
    <col min="15123" max="15131" width="0" style="294" hidden="1" customWidth="1"/>
    <col min="15132" max="15134" width="9.28515625" style="294" customWidth="1"/>
    <col min="15135" max="15143" width="0" style="294" hidden="1" customWidth="1"/>
    <col min="15144" max="15146" width="9.28515625" style="294" customWidth="1"/>
    <col min="15147" max="15155" width="0" style="294" hidden="1" customWidth="1"/>
    <col min="15156" max="15360" width="9.140625" style="294"/>
    <col min="15361" max="15361" width="2.7109375" style="294" bestFit="1" customWidth="1"/>
    <col min="15362" max="15363" width="3.42578125" style="294" bestFit="1" customWidth="1"/>
    <col min="15364" max="15364" width="39" style="294" bestFit="1" customWidth="1"/>
    <col min="15365" max="15366" width="9.28515625" style="294" customWidth="1"/>
    <col min="15367" max="15375" width="0" style="294" hidden="1" customWidth="1"/>
    <col min="15376" max="15378" width="9.28515625" style="294" customWidth="1"/>
    <col min="15379" max="15387" width="0" style="294" hidden="1" customWidth="1"/>
    <col min="15388" max="15390" width="9.28515625" style="294" customWidth="1"/>
    <col min="15391" max="15399" width="0" style="294" hidden="1" customWidth="1"/>
    <col min="15400" max="15402" width="9.28515625" style="294" customWidth="1"/>
    <col min="15403" max="15411" width="0" style="294" hidden="1" customWidth="1"/>
    <col min="15412" max="15616" width="9.140625" style="294"/>
    <col min="15617" max="15617" width="2.7109375" style="294" bestFit="1" customWidth="1"/>
    <col min="15618" max="15619" width="3.42578125" style="294" bestFit="1" customWidth="1"/>
    <col min="15620" max="15620" width="39" style="294" bestFit="1" customWidth="1"/>
    <col min="15621" max="15622" width="9.28515625" style="294" customWidth="1"/>
    <col min="15623" max="15631" width="0" style="294" hidden="1" customWidth="1"/>
    <col min="15632" max="15634" width="9.28515625" style="294" customWidth="1"/>
    <col min="15635" max="15643" width="0" style="294" hidden="1" customWidth="1"/>
    <col min="15644" max="15646" width="9.28515625" style="294" customWidth="1"/>
    <col min="15647" max="15655" width="0" style="294" hidden="1" customWidth="1"/>
    <col min="15656" max="15658" width="9.28515625" style="294" customWidth="1"/>
    <col min="15659" max="15667" width="0" style="294" hidden="1" customWidth="1"/>
    <col min="15668" max="15872" width="9.140625" style="294"/>
    <col min="15873" max="15873" width="2.7109375" style="294" bestFit="1" customWidth="1"/>
    <col min="15874" max="15875" width="3.42578125" style="294" bestFit="1" customWidth="1"/>
    <col min="15876" max="15876" width="39" style="294" bestFit="1" customWidth="1"/>
    <col min="15877" max="15878" width="9.28515625" style="294" customWidth="1"/>
    <col min="15879" max="15887" width="0" style="294" hidden="1" customWidth="1"/>
    <col min="15888" max="15890" width="9.28515625" style="294" customWidth="1"/>
    <col min="15891" max="15899" width="0" style="294" hidden="1" customWidth="1"/>
    <col min="15900" max="15902" width="9.28515625" style="294" customWidth="1"/>
    <col min="15903" max="15911" width="0" style="294" hidden="1" customWidth="1"/>
    <col min="15912" max="15914" width="9.28515625" style="294" customWidth="1"/>
    <col min="15915" max="15923" width="0" style="294" hidden="1" customWidth="1"/>
    <col min="15924" max="16128" width="9.140625" style="294"/>
    <col min="16129" max="16129" width="2.7109375" style="294" bestFit="1" customWidth="1"/>
    <col min="16130" max="16131" width="3.42578125" style="294" bestFit="1" customWidth="1"/>
    <col min="16132" max="16132" width="39" style="294" bestFit="1" customWidth="1"/>
    <col min="16133" max="16134" width="9.28515625" style="294" customWidth="1"/>
    <col min="16135" max="16143" width="0" style="294" hidden="1" customWidth="1"/>
    <col min="16144" max="16146" width="9.28515625" style="294" customWidth="1"/>
    <col min="16147" max="16155" width="0" style="294" hidden="1" customWidth="1"/>
    <col min="16156" max="16158" width="9.28515625" style="294" customWidth="1"/>
    <col min="16159" max="16167" width="0" style="294" hidden="1" customWidth="1"/>
    <col min="16168" max="16170" width="9.28515625" style="294" customWidth="1"/>
    <col min="16171" max="16179" width="0" style="294" hidden="1" customWidth="1"/>
    <col min="16180" max="16384" width="9.140625" style="294"/>
  </cols>
  <sheetData>
    <row r="1" spans="1:54" s="339" customFormat="1" ht="18" x14ac:dyDescent="0.25">
      <c r="A1" s="339" t="s">
        <v>0</v>
      </c>
    </row>
    <row r="2" spans="1:54" s="338" customFormat="1" ht="15.75" x14ac:dyDescent="0.25">
      <c r="A2" s="338" t="s">
        <v>629</v>
      </c>
    </row>
    <row r="3" spans="1:54" s="338" customFormat="1" ht="15.75" x14ac:dyDescent="0.25"/>
    <row r="4" spans="1:54" x14ac:dyDescent="0.2">
      <c r="A4" s="337" t="s">
        <v>628</v>
      </c>
      <c r="BA4" s="294" t="s">
        <v>627</v>
      </c>
      <c r="BB4" s="294" t="s">
        <v>626</v>
      </c>
    </row>
    <row r="5" spans="1:54" s="336" customFormat="1" ht="13.5" x14ac:dyDescent="0.25">
      <c r="A5" s="337" t="s">
        <v>625</v>
      </c>
      <c r="BB5" s="294" t="s">
        <v>624</v>
      </c>
    </row>
    <row r="6" spans="1:54" x14ac:dyDescent="0.2">
      <c r="Y6" s="335"/>
      <c r="Z6" s="335"/>
      <c r="AA6" s="335"/>
      <c r="AB6" s="335"/>
      <c r="AC6" s="335"/>
      <c r="AD6" s="335"/>
      <c r="AE6" s="335"/>
      <c r="AF6" s="335"/>
      <c r="AG6" s="335"/>
      <c r="AH6" s="335"/>
      <c r="AI6" s="335"/>
      <c r="AJ6" s="335"/>
      <c r="AK6" s="335"/>
      <c r="AL6" s="335"/>
      <c r="AM6" s="335"/>
      <c r="AN6" s="335"/>
      <c r="AO6" s="335"/>
      <c r="AP6" s="335"/>
      <c r="AQ6" s="335"/>
      <c r="AR6" s="335"/>
      <c r="AS6" s="335"/>
      <c r="AT6" s="335"/>
      <c r="AU6" s="335"/>
      <c r="AV6" s="335"/>
      <c r="AW6" s="335"/>
      <c r="AX6" s="335"/>
      <c r="AY6" s="335"/>
      <c r="BB6" s="294" t="s">
        <v>623</v>
      </c>
    </row>
    <row r="7" spans="1:54" x14ac:dyDescent="0.2">
      <c r="E7" s="1057" t="s">
        <v>536</v>
      </c>
      <c r="F7" s="1057"/>
      <c r="G7" s="319"/>
      <c r="H7" s="319"/>
      <c r="I7" s="319"/>
      <c r="J7" s="319"/>
      <c r="K7" s="319"/>
      <c r="L7" s="319"/>
      <c r="M7" s="319"/>
      <c r="N7" s="319"/>
      <c r="O7" s="319"/>
      <c r="Q7" s="1057" t="s">
        <v>571</v>
      </c>
      <c r="R7" s="1057"/>
      <c r="S7" s="319"/>
      <c r="T7" s="319"/>
      <c r="U7" s="319"/>
      <c r="V7" s="319"/>
      <c r="W7" s="319"/>
      <c r="X7" s="319"/>
      <c r="Y7" s="319"/>
      <c r="Z7" s="319"/>
      <c r="AA7" s="319"/>
      <c r="AC7" s="1057" t="s">
        <v>535</v>
      </c>
      <c r="AD7" s="1057"/>
      <c r="AE7" s="319"/>
      <c r="AF7" s="319"/>
      <c r="AG7" s="319"/>
      <c r="AH7" s="319"/>
      <c r="AI7" s="319"/>
      <c r="AJ7" s="319"/>
      <c r="AK7" s="319"/>
      <c r="AL7" s="319"/>
      <c r="AM7" s="319"/>
      <c r="AO7" s="1057" t="s">
        <v>570</v>
      </c>
      <c r="AP7" s="1057"/>
      <c r="AQ7" s="319"/>
      <c r="AR7" s="319"/>
      <c r="AS7" s="319"/>
      <c r="AT7" s="319"/>
      <c r="AU7" s="319"/>
      <c r="AV7" s="319"/>
      <c r="AW7" s="319"/>
      <c r="AX7" s="319"/>
      <c r="AY7" s="319"/>
    </row>
    <row r="8" spans="1:54" ht="14.25" customHeight="1" x14ac:dyDescent="0.2">
      <c r="A8" s="318"/>
      <c r="B8" s="318"/>
      <c r="C8" s="318"/>
      <c r="D8" s="318" t="s">
        <v>622</v>
      </c>
      <c r="E8" s="315" t="s">
        <v>533</v>
      </c>
      <c r="F8" s="315" t="s">
        <v>236</v>
      </c>
      <c r="G8" s="315" t="s">
        <v>229</v>
      </c>
      <c r="H8" s="315" t="s">
        <v>224</v>
      </c>
      <c r="I8" s="315" t="s">
        <v>154</v>
      </c>
      <c r="J8" s="315" t="s">
        <v>146</v>
      </c>
      <c r="K8" s="315" t="s">
        <v>104</v>
      </c>
      <c r="L8" s="315" t="s">
        <v>103</v>
      </c>
      <c r="M8" s="315" t="s">
        <v>102</v>
      </c>
      <c r="N8" s="315" t="s">
        <v>101</v>
      </c>
      <c r="O8" s="315" t="s">
        <v>100</v>
      </c>
      <c r="Q8" s="315" t="s">
        <v>533</v>
      </c>
      <c r="R8" s="315" t="s">
        <v>236</v>
      </c>
      <c r="S8" s="315" t="s">
        <v>229</v>
      </c>
      <c r="T8" s="315" t="s">
        <v>224</v>
      </c>
      <c r="U8" s="315" t="s">
        <v>154</v>
      </c>
      <c r="V8" s="315" t="s">
        <v>146</v>
      </c>
      <c r="W8" s="315" t="s">
        <v>104</v>
      </c>
      <c r="X8" s="315" t="s">
        <v>103</v>
      </c>
      <c r="Y8" s="315" t="s">
        <v>102</v>
      </c>
      <c r="Z8" s="315" t="s">
        <v>101</v>
      </c>
      <c r="AA8" s="315" t="s">
        <v>100</v>
      </c>
      <c r="AB8" s="316"/>
      <c r="AC8" s="315" t="s">
        <v>533</v>
      </c>
      <c r="AD8" s="315" t="s">
        <v>236</v>
      </c>
      <c r="AE8" s="315" t="s">
        <v>229</v>
      </c>
      <c r="AF8" s="315" t="s">
        <v>224</v>
      </c>
      <c r="AG8" s="315" t="s">
        <v>154</v>
      </c>
      <c r="AH8" s="315" t="s">
        <v>146</v>
      </c>
      <c r="AI8" s="315" t="s">
        <v>104</v>
      </c>
      <c r="AJ8" s="315" t="s">
        <v>103</v>
      </c>
      <c r="AK8" s="315" t="s">
        <v>102</v>
      </c>
      <c r="AL8" s="315" t="s">
        <v>101</v>
      </c>
      <c r="AM8" s="315" t="s">
        <v>100</v>
      </c>
      <c r="AN8" s="316"/>
      <c r="AO8" s="315" t="s">
        <v>533</v>
      </c>
      <c r="AP8" s="315" t="s">
        <v>236</v>
      </c>
      <c r="AQ8" s="315" t="s">
        <v>229</v>
      </c>
      <c r="AR8" s="315" t="s">
        <v>224</v>
      </c>
      <c r="AS8" s="315" t="s">
        <v>154</v>
      </c>
      <c r="AT8" s="315" t="s">
        <v>146</v>
      </c>
      <c r="AU8" s="315" t="s">
        <v>104</v>
      </c>
      <c r="AV8" s="315" t="s">
        <v>103</v>
      </c>
      <c r="AW8" s="315" t="s">
        <v>102</v>
      </c>
      <c r="AX8" s="315" t="s">
        <v>101</v>
      </c>
      <c r="AY8" s="315" t="s">
        <v>100</v>
      </c>
    </row>
    <row r="9" spans="1:54" x14ac:dyDescent="0.2">
      <c r="A9" s="294" t="s">
        <v>263</v>
      </c>
      <c r="B9" s="294" t="s">
        <v>262</v>
      </c>
      <c r="C9" s="294" t="s">
        <v>513</v>
      </c>
      <c r="D9" s="294" t="s">
        <v>621</v>
      </c>
      <c r="E9" s="294">
        <v>10822</v>
      </c>
      <c r="F9" s="294">
        <v>10792</v>
      </c>
      <c r="G9" s="294">
        <v>10640</v>
      </c>
      <c r="H9" s="294">
        <v>10478</v>
      </c>
      <c r="I9" s="294">
        <v>10002</v>
      </c>
      <c r="J9" s="294">
        <v>9720</v>
      </c>
      <c r="K9" s="294">
        <v>9716</v>
      </c>
      <c r="L9" s="334">
        <v>8128</v>
      </c>
      <c r="M9" s="294">
        <v>6840</v>
      </c>
      <c r="N9" s="294">
        <v>5659</v>
      </c>
      <c r="O9" s="294">
        <v>4969</v>
      </c>
      <c r="Q9" s="322">
        <v>12114</v>
      </c>
      <c r="R9" s="322">
        <v>11918</v>
      </c>
      <c r="S9" s="322">
        <v>11756</v>
      </c>
      <c r="T9" s="322">
        <v>11604</v>
      </c>
      <c r="U9" s="294">
        <v>10818</v>
      </c>
      <c r="V9" s="294">
        <v>10512</v>
      </c>
      <c r="W9" s="294">
        <v>10217</v>
      </c>
      <c r="X9" s="294">
        <v>8844</v>
      </c>
      <c r="Y9" s="294">
        <v>7971</v>
      </c>
      <c r="Z9" s="294">
        <v>7039</v>
      </c>
      <c r="AA9" s="294">
        <v>6375</v>
      </c>
      <c r="AC9" s="299">
        <v>28336</v>
      </c>
      <c r="AD9" s="299">
        <v>27372</v>
      </c>
      <c r="AE9" s="299">
        <v>26470</v>
      </c>
      <c r="AF9" s="299">
        <v>25458</v>
      </c>
      <c r="AG9" s="294">
        <v>23654</v>
      </c>
      <c r="AH9" s="294">
        <v>22973</v>
      </c>
      <c r="AI9" s="294">
        <v>22315</v>
      </c>
      <c r="AJ9" s="294">
        <v>20592</v>
      </c>
      <c r="AK9" s="294">
        <v>19625</v>
      </c>
      <c r="AL9" s="294">
        <v>17947</v>
      </c>
      <c r="AM9" s="294">
        <v>17001</v>
      </c>
      <c r="AO9" s="322">
        <v>30906</v>
      </c>
      <c r="AP9" s="322">
        <v>29854</v>
      </c>
      <c r="AQ9" s="322">
        <v>28862</v>
      </c>
      <c r="AR9" s="322">
        <v>27760</v>
      </c>
      <c r="AS9" s="294">
        <v>25804</v>
      </c>
      <c r="AT9" s="294">
        <v>25062</v>
      </c>
      <c r="AU9" s="294">
        <v>24341</v>
      </c>
      <c r="AV9" s="294">
        <v>22393</v>
      </c>
      <c r="AW9" s="294">
        <v>21365</v>
      </c>
      <c r="AX9" s="294">
        <v>19604</v>
      </c>
      <c r="AY9" s="294">
        <v>18068</v>
      </c>
    </row>
    <row r="10" spans="1:54" x14ac:dyDescent="0.2">
      <c r="A10" s="294" t="s">
        <v>263</v>
      </c>
      <c r="B10" s="294" t="s">
        <v>262</v>
      </c>
      <c r="C10" s="294" t="s">
        <v>513</v>
      </c>
      <c r="D10" s="294" t="s">
        <v>620</v>
      </c>
      <c r="E10" s="294">
        <v>12447</v>
      </c>
      <c r="F10" s="294">
        <v>12228</v>
      </c>
      <c r="G10" s="294">
        <v>11749</v>
      </c>
      <c r="H10" s="294">
        <v>11403</v>
      </c>
      <c r="I10" s="294">
        <v>10391</v>
      </c>
      <c r="J10" s="294">
        <v>10035</v>
      </c>
      <c r="K10" s="294">
        <v>10035</v>
      </c>
      <c r="L10" s="295">
        <v>8128</v>
      </c>
      <c r="M10" s="294">
        <v>6842</v>
      </c>
      <c r="N10" s="294">
        <v>5531</v>
      </c>
      <c r="O10" s="294">
        <v>5037</v>
      </c>
      <c r="Q10" s="322">
        <v>12980</v>
      </c>
      <c r="R10" s="322">
        <v>12748</v>
      </c>
      <c r="S10" s="322">
        <v>12383</v>
      </c>
      <c r="T10" s="322">
        <v>12048</v>
      </c>
      <c r="U10" s="860">
        <v>11723</v>
      </c>
      <c r="V10" s="860">
        <v>11723</v>
      </c>
      <c r="W10" s="860">
        <v>11723</v>
      </c>
      <c r="X10" s="860">
        <v>11723</v>
      </c>
      <c r="Y10" s="860">
        <v>11723</v>
      </c>
      <c r="Z10" s="860">
        <v>11723</v>
      </c>
      <c r="AA10" s="860">
        <v>11723</v>
      </c>
      <c r="AB10" s="333"/>
      <c r="AC10" s="299">
        <v>36346</v>
      </c>
      <c r="AD10" s="299">
        <v>35658</v>
      </c>
      <c r="AE10" s="299">
        <v>34967</v>
      </c>
      <c r="AF10" s="299">
        <v>32630</v>
      </c>
      <c r="AG10" s="294">
        <v>27073</v>
      </c>
      <c r="AH10" s="294">
        <v>26231</v>
      </c>
      <c r="AI10" s="294">
        <v>25494</v>
      </c>
      <c r="AJ10" s="294">
        <v>24596</v>
      </c>
      <c r="AK10" s="294">
        <v>22251</v>
      </c>
      <c r="AL10" s="294">
        <v>18665</v>
      </c>
      <c r="AM10" s="294">
        <v>16271</v>
      </c>
      <c r="AO10" s="322">
        <v>33329</v>
      </c>
      <c r="AP10" s="322">
        <v>32698</v>
      </c>
      <c r="AQ10" s="322">
        <v>32135</v>
      </c>
      <c r="AR10" s="322">
        <v>30370</v>
      </c>
      <c r="AS10" s="294">
        <v>27383</v>
      </c>
      <c r="AT10" s="294">
        <v>26533</v>
      </c>
      <c r="AU10" s="294">
        <v>25787</v>
      </c>
      <c r="AV10" s="294">
        <v>24889</v>
      </c>
      <c r="AW10" s="294">
        <v>22544</v>
      </c>
      <c r="AX10" s="294">
        <v>18958</v>
      </c>
      <c r="AY10" s="294">
        <v>16564</v>
      </c>
    </row>
    <row r="11" spans="1:54" x14ac:dyDescent="0.2">
      <c r="A11" s="294" t="s">
        <v>263</v>
      </c>
      <c r="C11" s="294" t="s">
        <v>401</v>
      </c>
      <c r="D11" s="294" t="s">
        <v>619</v>
      </c>
      <c r="E11" s="294">
        <v>14184</v>
      </c>
      <c r="F11" s="294">
        <v>14170</v>
      </c>
      <c r="G11" s="294">
        <v>13509</v>
      </c>
      <c r="H11" s="294">
        <v>13431</v>
      </c>
      <c r="I11" s="294">
        <v>12864</v>
      </c>
      <c r="J11" s="294">
        <v>12874</v>
      </c>
      <c r="K11" s="294">
        <v>12835</v>
      </c>
      <c r="L11" s="295">
        <v>8938</v>
      </c>
      <c r="M11" s="294">
        <v>8353</v>
      </c>
      <c r="N11" s="294">
        <v>7656</v>
      </c>
      <c r="O11" s="294">
        <v>7165</v>
      </c>
      <c r="Q11" s="322">
        <v>14131</v>
      </c>
      <c r="R11" s="322">
        <v>14170</v>
      </c>
      <c r="S11" s="322">
        <v>13509</v>
      </c>
      <c r="T11" s="322">
        <v>13431</v>
      </c>
      <c r="U11" s="294">
        <v>12864</v>
      </c>
      <c r="V11" s="294">
        <v>12874</v>
      </c>
      <c r="W11" s="294">
        <v>12835</v>
      </c>
      <c r="X11" s="294">
        <v>10940</v>
      </c>
      <c r="Y11" s="294">
        <v>11233</v>
      </c>
      <c r="Z11" s="294">
        <v>10214</v>
      </c>
      <c r="AA11" s="294">
        <v>9579</v>
      </c>
      <c r="AC11" s="299">
        <v>43394</v>
      </c>
      <c r="AD11" s="299">
        <v>42184</v>
      </c>
      <c r="AE11" s="299">
        <v>40191</v>
      </c>
      <c r="AF11" s="299">
        <v>38139</v>
      </c>
      <c r="AG11" s="294">
        <v>35742</v>
      </c>
      <c r="AH11" s="294">
        <v>35752</v>
      </c>
      <c r="AI11" s="313">
        <v>37339</v>
      </c>
      <c r="AJ11" s="294">
        <v>33819</v>
      </c>
      <c r="AK11" s="294">
        <v>31022</v>
      </c>
      <c r="AL11" s="294">
        <v>28264</v>
      </c>
      <c r="AM11" s="294">
        <v>26785</v>
      </c>
      <c r="AO11" s="322">
        <v>29233</v>
      </c>
      <c r="AP11" s="322">
        <v>29272</v>
      </c>
      <c r="AQ11" s="322">
        <v>28611</v>
      </c>
      <c r="AR11" s="322">
        <v>28533</v>
      </c>
      <c r="AS11" s="294">
        <v>27966</v>
      </c>
      <c r="AT11" s="294">
        <v>27976</v>
      </c>
      <c r="AU11" s="294">
        <v>27937</v>
      </c>
      <c r="AV11" s="294">
        <v>26042</v>
      </c>
      <c r="AW11" s="294">
        <v>26269</v>
      </c>
      <c r="AX11" s="294">
        <v>25220</v>
      </c>
      <c r="AY11" s="294">
        <v>24567</v>
      </c>
    </row>
    <row r="12" spans="1:54" x14ac:dyDescent="0.2">
      <c r="A12" s="294" t="s">
        <v>263</v>
      </c>
      <c r="C12" s="294" t="s">
        <v>401</v>
      </c>
      <c r="D12" s="294" t="s">
        <v>618</v>
      </c>
      <c r="E12" s="294">
        <v>14402</v>
      </c>
      <c r="F12" s="294">
        <v>14420</v>
      </c>
      <c r="G12" s="294">
        <v>14046</v>
      </c>
      <c r="H12" s="294">
        <v>13973</v>
      </c>
      <c r="I12" s="294">
        <v>13896</v>
      </c>
      <c r="J12" s="294">
        <v>13877</v>
      </c>
      <c r="K12" s="294">
        <v>13860</v>
      </c>
      <c r="L12" s="295">
        <v>9943</v>
      </c>
      <c r="M12" s="294">
        <v>9358</v>
      </c>
      <c r="N12" s="294">
        <v>8639</v>
      </c>
      <c r="O12" s="294">
        <v>8124</v>
      </c>
      <c r="Q12" s="322">
        <v>13570</v>
      </c>
      <c r="R12" s="322">
        <v>13607</v>
      </c>
      <c r="S12" s="322">
        <v>13237</v>
      </c>
      <c r="T12" s="322">
        <v>13164</v>
      </c>
      <c r="U12" s="294">
        <v>13109</v>
      </c>
      <c r="V12" s="294">
        <v>13107</v>
      </c>
      <c r="W12" s="294">
        <v>13105</v>
      </c>
      <c r="X12" s="294">
        <v>11211</v>
      </c>
      <c r="Y12" s="294">
        <v>11521</v>
      </c>
      <c r="Z12" s="294">
        <v>10618</v>
      </c>
      <c r="AA12" s="294">
        <v>9651</v>
      </c>
      <c r="AC12" s="299">
        <v>42434</v>
      </c>
      <c r="AD12" s="299">
        <v>42434</v>
      </c>
      <c r="AE12" s="299">
        <v>40728</v>
      </c>
      <c r="AF12" s="299">
        <v>38681</v>
      </c>
      <c r="AG12" s="294">
        <v>36774</v>
      </c>
      <c r="AH12" s="294">
        <v>36755</v>
      </c>
      <c r="AI12" s="313">
        <v>38001</v>
      </c>
      <c r="AJ12" s="294">
        <v>34837</v>
      </c>
      <c r="AK12" s="294">
        <v>32027</v>
      </c>
      <c r="AL12" s="294">
        <v>29247</v>
      </c>
      <c r="AM12" s="294">
        <v>27744</v>
      </c>
      <c r="AO12" s="322">
        <v>28672</v>
      </c>
      <c r="AP12" s="322">
        <v>28709</v>
      </c>
      <c r="AQ12" s="322">
        <v>28339</v>
      </c>
      <c r="AR12" s="322">
        <v>28266</v>
      </c>
      <c r="AS12" s="294">
        <v>28211</v>
      </c>
      <c r="AT12" s="294">
        <v>28209</v>
      </c>
      <c r="AU12" s="294">
        <v>28207</v>
      </c>
      <c r="AV12" s="294">
        <v>26313</v>
      </c>
      <c r="AW12" s="294">
        <v>26557</v>
      </c>
      <c r="AX12" s="294">
        <v>25624</v>
      </c>
      <c r="AY12" s="294">
        <v>24639</v>
      </c>
    </row>
    <row r="13" spans="1:54" x14ac:dyDescent="0.2">
      <c r="A13" s="294" t="s">
        <v>263</v>
      </c>
      <c r="C13" s="294" t="s">
        <v>401</v>
      </c>
      <c r="D13" s="294" t="s">
        <v>617</v>
      </c>
      <c r="E13" s="294">
        <v>13700</v>
      </c>
      <c r="F13" s="294">
        <v>13738</v>
      </c>
      <c r="G13" s="294">
        <v>13360</v>
      </c>
      <c r="H13" s="294">
        <v>13252</v>
      </c>
      <c r="I13" s="294">
        <v>13149</v>
      </c>
      <c r="J13" s="294">
        <v>13122</v>
      </c>
      <c r="K13" s="294">
        <v>13122</v>
      </c>
      <c r="L13" s="295">
        <v>9303</v>
      </c>
      <c r="M13" s="294">
        <v>8718</v>
      </c>
      <c r="N13" s="294">
        <v>8046</v>
      </c>
      <c r="O13" s="294">
        <v>7556</v>
      </c>
      <c r="Q13" s="322">
        <v>13344</v>
      </c>
      <c r="R13" s="322">
        <v>13400</v>
      </c>
      <c r="S13" s="322">
        <v>13064</v>
      </c>
      <c r="T13" s="322">
        <v>13010</v>
      </c>
      <c r="U13" s="294">
        <v>12962</v>
      </c>
      <c r="V13" s="294">
        <v>12962</v>
      </c>
      <c r="W13" s="294">
        <v>12962</v>
      </c>
      <c r="X13" s="294">
        <v>11071</v>
      </c>
      <c r="Y13" s="294">
        <v>11850</v>
      </c>
      <c r="Z13" s="294">
        <v>11264</v>
      </c>
      <c r="AA13" s="294">
        <v>10716</v>
      </c>
      <c r="AC13" s="299">
        <v>42692</v>
      </c>
      <c r="AD13" s="299">
        <v>41752</v>
      </c>
      <c r="AE13" s="299">
        <v>40042</v>
      </c>
      <c r="AF13" s="299">
        <v>37960</v>
      </c>
      <c r="AG13" s="294">
        <v>36027</v>
      </c>
      <c r="AH13" s="294">
        <v>36000</v>
      </c>
      <c r="AI13" s="313">
        <v>36848</v>
      </c>
      <c r="AJ13" s="294">
        <v>34111</v>
      </c>
      <c r="AK13" s="294">
        <v>31387</v>
      </c>
      <c r="AL13" s="294">
        <v>28654</v>
      </c>
      <c r="AM13" s="294">
        <v>27176</v>
      </c>
      <c r="AO13" s="322">
        <v>28446</v>
      </c>
      <c r="AP13" s="322">
        <v>28502</v>
      </c>
      <c r="AQ13" s="322">
        <v>28166</v>
      </c>
      <c r="AR13" s="322">
        <v>28112</v>
      </c>
      <c r="AS13" s="294">
        <v>28064</v>
      </c>
      <c r="AT13" s="294">
        <v>28064</v>
      </c>
      <c r="AU13" s="294">
        <v>28064</v>
      </c>
      <c r="AV13" s="294">
        <v>26174</v>
      </c>
      <c r="AW13" s="294">
        <v>26886</v>
      </c>
      <c r="AX13" s="294">
        <v>26270</v>
      </c>
      <c r="AY13" s="294">
        <v>25704</v>
      </c>
    </row>
    <row r="14" spans="1:54" x14ac:dyDescent="0.2">
      <c r="A14" s="294" t="s">
        <v>263</v>
      </c>
      <c r="C14" s="294" t="s">
        <v>401</v>
      </c>
      <c r="D14" s="294" t="s">
        <v>616</v>
      </c>
      <c r="E14" s="313">
        <v>13226</v>
      </c>
      <c r="F14" s="313">
        <v>13261</v>
      </c>
      <c r="G14" s="313">
        <v>12920</v>
      </c>
      <c r="H14" s="313">
        <v>12763</v>
      </c>
      <c r="I14" s="313">
        <v>12697</v>
      </c>
      <c r="J14" s="313">
        <v>12692</v>
      </c>
      <c r="K14" s="294">
        <v>12686</v>
      </c>
      <c r="L14" s="295">
        <v>8851</v>
      </c>
      <c r="M14" s="294">
        <v>8266</v>
      </c>
      <c r="N14" s="294">
        <v>7554</v>
      </c>
      <c r="O14" s="294">
        <v>7038</v>
      </c>
      <c r="Q14" s="322">
        <v>12946</v>
      </c>
      <c r="R14" s="322">
        <v>13003</v>
      </c>
      <c r="S14" s="322">
        <v>12683</v>
      </c>
      <c r="T14" s="322">
        <v>12629</v>
      </c>
      <c r="U14" s="294">
        <v>12571</v>
      </c>
      <c r="V14" s="294">
        <v>12566</v>
      </c>
      <c r="W14" s="294">
        <v>12562</v>
      </c>
      <c r="X14" s="294">
        <v>10660</v>
      </c>
      <c r="Y14" s="294">
        <v>10658</v>
      </c>
      <c r="Z14" s="294">
        <v>9670</v>
      </c>
      <c r="AA14" s="294">
        <v>8968</v>
      </c>
      <c r="AC14" s="299">
        <v>42218</v>
      </c>
      <c r="AD14" s="299">
        <v>41275</v>
      </c>
      <c r="AE14" s="299">
        <v>39602</v>
      </c>
      <c r="AF14" s="299">
        <v>37471</v>
      </c>
      <c r="AG14" s="294">
        <v>35575</v>
      </c>
      <c r="AH14" s="294">
        <v>35570</v>
      </c>
      <c r="AI14" s="313">
        <v>36788</v>
      </c>
      <c r="AJ14" s="294">
        <v>33660</v>
      </c>
      <c r="AK14" s="294">
        <v>30935</v>
      </c>
      <c r="AL14" s="294">
        <v>28162</v>
      </c>
      <c r="AM14" s="294">
        <v>26658</v>
      </c>
      <c r="AO14" s="322">
        <v>28048</v>
      </c>
      <c r="AP14" s="322">
        <v>28105</v>
      </c>
      <c r="AQ14" s="322">
        <v>27785</v>
      </c>
      <c r="AR14" s="322">
        <v>27731</v>
      </c>
      <c r="AS14" s="294">
        <v>27673</v>
      </c>
      <c r="AT14" s="294">
        <v>27668</v>
      </c>
      <c r="AU14" s="294">
        <v>27664</v>
      </c>
      <c r="AV14" s="294">
        <v>25762</v>
      </c>
      <c r="AW14" s="294">
        <v>25694</v>
      </c>
      <c r="AX14" s="294">
        <v>24676</v>
      </c>
      <c r="AY14" s="294">
        <v>23955</v>
      </c>
    </row>
    <row r="15" spans="1:54" x14ac:dyDescent="0.2">
      <c r="A15" s="294" t="s">
        <v>263</v>
      </c>
      <c r="C15" s="294" t="s">
        <v>401</v>
      </c>
      <c r="D15" s="294" t="s">
        <v>615</v>
      </c>
      <c r="E15" s="313">
        <v>13538</v>
      </c>
      <c r="F15" s="313">
        <v>13598</v>
      </c>
      <c r="G15" s="313">
        <v>13262</v>
      </c>
      <c r="H15" s="313">
        <v>13208</v>
      </c>
      <c r="I15" s="313">
        <v>13160</v>
      </c>
      <c r="J15" s="313">
        <v>13070</v>
      </c>
      <c r="K15" s="294">
        <v>13070</v>
      </c>
      <c r="L15" s="295">
        <v>9101</v>
      </c>
      <c r="M15" s="294">
        <v>8516</v>
      </c>
      <c r="N15" s="294">
        <v>7749</v>
      </c>
      <c r="O15" s="294">
        <v>7148</v>
      </c>
      <c r="Q15" s="322">
        <v>13207</v>
      </c>
      <c r="R15" s="322">
        <v>13267</v>
      </c>
      <c r="S15" s="322">
        <v>12931</v>
      </c>
      <c r="T15" s="322">
        <v>12877</v>
      </c>
      <c r="U15" s="294">
        <v>12829</v>
      </c>
      <c r="V15" s="294">
        <v>12809</v>
      </c>
      <c r="W15" s="294">
        <v>12809</v>
      </c>
      <c r="X15" s="294">
        <v>10867</v>
      </c>
      <c r="Y15" s="294">
        <v>10733</v>
      </c>
      <c r="Z15" s="294">
        <v>10075</v>
      </c>
      <c r="AA15" s="294">
        <v>9487</v>
      </c>
      <c r="AC15" s="299">
        <v>42530</v>
      </c>
      <c r="AD15" s="299">
        <v>41612</v>
      </c>
      <c r="AE15" s="299">
        <v>39944</v>
      </c>
      <c r="AF15" s="299">
        <v>37916</v>
      </c>
      <c r="AG15" s="294">
        <v>36038</v>
      </c>
      <c r="AH15" s="294">
        <v>35948</v>
      </c>
      <c r="AI15" s="313">
        <v>37247</v>
      </c>
      <c r="AJ15" s="294">
        <v>33909</v>
      </c>
      <c r="AK15" s="294">
        <v>31185</v>
      </c>
      <c r="AL15" s="294">
        <v>28357</v>
      </c>
      <c r="AM15" s="294">
        <v>26768</v>
      </c>
      <c r="AO15" s="322">
        <v>28309</v>
      </c>
      <c r="AP15" s="322">
        <v>28369</v>
      </c>
      <c r="AQ15" s="322">
        <v>28033</v>
      </c>
      <c r="AR15" s="322">
        <v>27979</v>
      </c>
      <c r="AS15" s="294">
        <v>27931</v>
      </c>
      <c r="AT15" s="294">
        <v>27911</v>
      </c>
      <c r="AU15" s="294">
        <v>27911</v>
      </c>
      <c r="AV15" s="294">
        <v>25969</v>
      </c>
      <c r="AW15" s="294">
        <v>25769</v>
      </c>
      <c r="AX15" s="294">
        <v>25081</v>
      </c>
      <c r="AY15" s="294">
        <v>24475</v>
      </c>
    </row>
    <row r="16" spans="1:54" x14ac:dyDescent="0.2">
      <c r="A16" s="294" t="s">
        <v>263</v>
      </c>
      <c r="C16" s="294" t="s">
        <v>401</v>
      </c>
      <c r="D16" s="294" t="s">
        <v>614</v>
      </c>
      <c r="E16" s="313">
        <v>13827</v>
      </c>
      <c r="F16" s="313">
        <v>13917</v>
      </c>
      <c r="G16" s="313">
        <v>13581</v>
      </c>
      <c r="H16" s="313">
        <v>13527</v>
      </c>
      <c r="I16" s="313">
        <v>12960</v>
      </c>
      <c r="J16" s="313">
        <v>12960</v>
      </c>
      <c r="K16" s="294">
        <v>12923</v>
      </c>
      <c r="L16" s="295">
        <v>9092</v>
      </c>
      <c r="M16" s="294">
        <v>8507</v>
      </c>
      <c r="N16" s="294">
        <v>7845</v>
      </c>
      <c r="O16" s="294">
        <v>7355</v>
      </c>
      <c r="Q16" s="322">
        <v>13584</v>
      </c>
      <c r="R16" s="322">
        <v>13675</v>
      </c>
      <c r="S16" s="322">
        <v>13339</v>
      </c>
      <c r="T16" s="322">
        <v>13284</v>
      </c>
      <c r="U16" s="294">
        <v>12789</v>
      </c>
      <c r="V16" s="294">
        <v>12789</v>
      </c>
      <c r="W16" s="294">
        <v>12790</v>
      </c>
      <c r="X16" s="294">
        <v>10900</v>
      </c>
      <c r="Y16" s="294">
        <v>11143</v>
      </c>
      <c r="Z16" s="294">
        <v>10350</v>
      </c>
      <c r="AA16" s="294">
        <v>9747</v>
      </c>
      <c r="AC16" s="299">
        <v>42819</v>
      </c>
      <c r="AD16" s="299">
        <v>41931</v>
      </c>
      <c r="AE16" s="299">
        <v>40263</v>
      </c>
      <c r="AF16" s="299">
        <v>38235</v>
      </c>
      <c r="AG16" s="294">
        <v>35838</v>
      </c>
      <c r="AH16" s="294">
        <v>35838</v>
      </c>
      <c r="AI16" s="313">
        <v>36485</v>
      </c>
      <c r="AJ16" s="294">
        <v>33908</v>
      </c>
      <c r="AK16" s="294">
        <v>31176</v>
      </c>
      <c r="AL16" s="294">
        <v>28453</v>
      </c>
      <c r="AM16" s="294">
        <v>26975</v>
      </c>
      <c r="AO16" s="322">
        <v>28686</v>
      </c>
      <c r="AP16" s="322">
        <v>28777</v>
      </c>
      <c r="AQ16" s="322">
        <v>28441</v>
      </c>
      <c r="AR16" s="322">
        <v>28386</v>
      </c>
      <c r="AS16" s="294">
        <v>27891</v>
      </c>
      <c r="AT16" s="294">
        <v>27891</v>
      </c>
      <c r="AU16" s="294">
        <v>27892</v>
      </c>
      <c r="AV16" s="294">
        <v>26002</v>
      </c>
      <c r="AW16" s="294">
        <v>26179</v>
      </c>
      <c r="AX16" s="294">
        <v>25356</v>
      </c>
      <c r="AY16" s="294">
        <v>24735</v>
      </c>
    </row>
    <row r="17" spans="1:51" x14ac:dyDescent="0.2">
      <c r="A17" s="294" t="s">
        <v>263</v>
      </c>
      <c r="C17" s="294" t="s">
        <v>401</v>
      </c>
      <c r="D17" s="294" t="s">
        <v>613</v>
      </c>
      <c r="E17" s="313">
        <v>14167</v>
      </c>
      <c r="F17" s="313">
        <v>14018</v>
      </c>
      <c r="G17" s="313">
        <v>13645</v>
      </c>
      <c r="H17" s="313">
        <v>13530</v>
      </c>
      <c r="I17" s="313">
        <v>13271</v>
      </c>
      <c r="J17" s="313">
        <v>13217</v>
      </c>
      <c r="K17" s="294">
        <v>13202</v>
      </c>
      <c r="L17" s="295">
        <v>9377</v>
      </c>
      <c r="M17" s="294">
        <v>8792</v>
      </c>
      <c r="N17" s="294">
        <v>8055</v>
      </c>
      <c r="O17" s="294">
        <v>7456</v>
      </c>
      <c r="Q17" s="322">
        <v>13397</v>
      </c>
      <c r="R17" s="322">
        <v>13446</v>
      </c>
      <c r="S17" s="322">
        <v>13085</v>
      </c>
      <c r="T17" s="322">
        <v>13021</v>
      </c>
      <c r="U17" s="294">
        <v>12779</v>
      </c>
      <c r="V17" s="294">
        <v>12734</v>
      </c>
      <c r="W17" s="294">
        <v>12734</v>
      </c>
      <c r="X17" s="294">
        <v>10844</v>
      </c>
      <c r="Y17" s="294">
        <v>10934</v>
      </c>
      <c r="Z17" s="294">
        <v>10076</v>
      </c>
      <c r="AA17" s="294">
        <v>9376</v>
      </c>
      <c r="AC17" s="299">
        <v>43159</v>
      </c>
      <c r="AD17" s="299">
        <v>42032</v>
      </c>
      <c r="AE17" s="299">
        <v>40327</v>
      </c>
      <c r="AF17" s="299">
        <v>38238</v>
      </c>
      <c r="AG17" s="294">
        <v>36149</v>
      </c>
      <c r="AH17" s="294">
        <v>36095</v>
      </c>
      <c r="AI17" s="313">
        <v>37010</v>
      </c>
      <c r="AJ17" s="294">
        <v>34185</v>
      </c>
      <c r="AK17" s="294">
        <v>31461</v>
      </c>
      <c r="AL17" s="294">
        <v>28663</v>
      </c>
      <c r="AM17" s="294">
        <v>27076</v>
      </c>
      <c r="AO17" s="322">
        <v>28499</v>
      </c>
      <c r="AP17" s="322">
        <v>28548</v>
      </c>
      <c r="AQ17" s="322">
        <v>28187</v>
      </c>
      <c r="AR17" s="322">
        <v>28123</v>
      </c>
      <c r="AS17" s="294">
        <v>27881</v>
      </c>
      <c r="AT17" s="294">
        <v>27836</v>
      </c>
      <c r="AU17" s="294">
        <v>27836</v>
      </c>
      <c r="AV17" s="294">
        <v>25946</v>
      </c>
      <c r="AW17" s="294">
        <v>25970</v>
      </c>
      <c r="AX17" s="294">
        <v>25082</v>
      </c>
      <c r="AY17" s="294">
        <v>24364</v>
      </c>
    </row>
    <row r="18" spans="1:51" x14ac:dyDescent="0.2">
      <c r="A18" s="294" t="s">
        <v>263</v>
      </c>
      <c r="C18" s="294" t="s">
        <v>401</v>
      </c>
      <c r="D18" s="294" t="s">
        <v>612</v>
      </c>
      <c r="E18" s="313">
        <v>14391</v>
      </c>
      <c r="F18" s="313">
        <v>14451</v>
      </c>
      <c r="G18" s="313">
        <v>14073</v>
      </c>
      <c r="H18" s="313">
        <v>13968</v>
      </c>
      <c r="I18" s="313">
        <v>13746</v>
      </c>
      <c r="J18" s="313">
        <v>13671</v>
      </c>
      <c r="K18" s="294">
        <v>13598</v>
      </c>
      <c r="L18" s="295">
        <v>9662</v>
      </c>
      <c r="M18" s="294">
        <v>9077</v>
      </c>
      <c r="N18" s="294">
        <v>8386</v>
      </c>
      <c r="O18" s="294">
        <v>7865</v>
      </c>
      <c r="Q18" s="322">
        <v>13554</v>
      </c>
      <c r="R18" s="322">
        <v>13569</v>
      </c>
      <c r="S18" s="322">
        <v>13249</v>
      </c>
      <c r="T18" s="322">
        <v>13193</v>
      </c>
      <c r="U18" s="294">
        <v>12992</v>
      </c>
      <c r="V18" s="294">
        <v>12957</v>
      </c>
      <c r="W18" s="294">
        <v>12961</v>
      </c>
      <c r="X18" s="294">
        <v>11024</v>
      </c>
      <c r="Y18" s="294">
        <v>12101</v>
      </c>
      <c r="Z18" s="294">
        <v>11360</v>
      </c>
      <c r="AA18" s="294">
        <v>10108</v>
      </c>
      <c r="AC18" s="299">
        <v>43383</v>
      </c>
      <c r="AD18" s="299">
        <v>42465</v>
      </c>
      <c r="AE18" s="299">
        <v>40755</v>
      </c>
      <c r="AF18" s="299">
        <v>38676</v>
      </c>
      <c r="AG18" s="294">
        <v>36624</v>
      </c>
      <c r="AH18" s="294">
        <v>36549</v>
      </c>
      <c r="AI18" s="313">
        <v>37768</v>
      </c>
      <c r="AJ18" s="294">
        <v>34592</v>
      </c>
      <c r="AK18" s="294">
        <v>31746</v>
      </c>
      <c r="AL18" s="294">
        <v>28994</v>
      </c>
      <c r="AM18" s="294">
        <v>27516</v>
      </c>
      <c r="AO18" s="322">
        <v>28656</v>
      </c>
      <c r="AP18" s="322">
        <v>28671</v>
      </c>
      <c r="AQ18" s="322">
        <v>28351</v>
      </c>
      <c r="AR18" s="322">
        <v>28295</v>
      </c>
      <c r="AS18" s="294">
        <v>28094</v>
      </c>
      <c r="AT18" s="294">
        <v>28059</v>
      </c>
      <c r="AU18" s="294">
        <v>28063</v>
      </c>
      <c r="AV18" s="294">
        <v>26126</v>
      </c>
      <c r="AW18" s="294">
        <v>26590</v>
      </c>
      <c r="AX18" s="294">
        <v>25660</v>
      </c>
      <c r="AY18" s="294">
        <v>25096</v>
      </c>
    </row>
    <row r="19" spans="1:51" x14ac:dyDescent="0.2">
      <c r="A19" s="294" t="s">
        <v>263</v>
      </c>
      <c r="C19" s="294" t="s">
        <v>401</v>
      </c>
      <c r="D19" s="294" t="s">
        <v>611</v>
      </c>
      <c r="E19" s="313">
        <v>13960</v>
      </c>
      <c r="F19" s="313">
        <v>14020</v>
      </c>
      <c r="G19" s="313">
        <v>13539</v>
      </c>
      <c r="H19" s="313">
        <v>13461</v>
      </c>
      <c r="I19" s="313">
        <v>13397</v>
      </c>
      <c r="J19" s="313">
        <v>13416</v>
      </c>
      <c r="K19" s="294">
        <v>13416</v>
      </c>
      <c r="L19" s="295">
        <v>9447</v>
      </c>
      <c r="M19" s="294">
        <v>8862</v>
      </c>
      <c r="N19" s="294">
        <v>8014</v>
      </c>
      <c r="O19" s="294">
        <v>7846</v>
      </c>
      <c r="Q19" s="322">
        <v>13777</v>
      </c>
      <c r="R19" s="322">
        <v>13837</v>
      </c>
      <c r="S19" s="322">
        <v>13386</v>
      </c>
      <c r="T19" s="322">
        <v>13308</v>
      </c>
      <c r="U19" s="294">
        <v>13260</v>
      </c>
      <c r="V19" s="294">
        <v>13279</v>
      </c>
      <c r="W19" s="294">
        <v>13279</v>
      </c>
      <c r="X19" s="294">
        <v>11384</v>
      </c>
      <c r="Y19" s="294">
        <v>11554</v>
      </c>
      <c r="Z19" s="294">
        <v>10654</v>
      </c>
      <c r="AA19" s="294">
        <v>10730</v>
      </c>
      <c r="AC19" s="299">
        <v>42952</v>
      </c>
      <c r="AD19" s="299">
        <v>42034</v>
      </c>
      <c r="AE19" s="299">
        <v>40221</v>
      </c>
      <c r="AF19" s="299">
        <v>38169</v>
      </c>
      <c r="AG19" s="294">
        <v>36275</v>
      </c>
      <c r="AH19" s="294">
        <v>36294</v>
      </c>
      <c r="AI19" s="313">
        <v>37710</v>
      </c>
      <c r="AJ19" s="294">
        <v>34384</v>
      </c>
      <c r="AK19" s="294">
        <v>31531</v>
      </c>
      <c r="AL19" s="294">
        <v>28622</v>
      </c>
      <c r="AM19" s="294">
        <v>27266</v>
      </c>
      <c r="AO19" s="322">
        <v>28879</v>
      </c>
      <c r="AP19" s="322">
        <v>28939</v>
      </c>
      <c r="AQ19" s="322">
        <v>28488</v>
      </c>
      <c r="AR19" s="322">
        <v>28410</v>
      </c>
      <c r="AS19" s="294">
        <v>28362</v>
      </c>
      <c r="AT19" s="294">
        <v>28381</v>
      </c>
      <c r="AU19" s="294">
        <v>28381</v>
      </c>
      <c r="AV19" s="294">
        <v>26486</v>
      </c>
      <c r="AW19" s="294">
        <v>27137</v>
      </c>
      <c r="AX19" s="294">
        <v>26366</v>
      </c>
      <c r="AY19" s="294">
        <v>25718</v>
      </c>
    </row>
    <row r="20" spans="1:51" x14ac:dyDescent="0.2">
      <c r="A20" s="294" t="s">
        <v>263</v>
      </c>
      <c r="B20" s="294" t="s">
        <v>262</v>
      </c>
      <c r="C20" s="294" t="s">
        <v>385</v>
      </c>
      <c r="D20" s="294" t="s">
        <v>610</v>
      </c>
      <c r="E20" s="313">
        <v>11832</v>
      </c>
      <c r="F20" s="313">
        <v>11519</v>
      </c>
      <c r="G20" s="313">
        <v>11052</v>
      </c>
      <c r="H20" s="313">
        <v>10557</v>
      </c>
      <c r="I20" s="313">
        <v>9273</v>
      </c>
      <c r="J20" s="313">
        <v>8649</v>
      </c>
      <c r="K20" s="294">
        <v>8114</v>
      </c>
      <c r="L20" s="295">
        <v>6985</v>
      </c>
      <c r="M20" s="294">
        <v>6318</v>
      </c>
      <c r="N20" s="294">
        <v>5874</v>
      </c>
      <c r="O20" s="294">
        <v>5299</v>
      </c>
      <c r="Q20" s="322">
        <v>12494</v>
      </c>
      <c r="R20" s="322">
        <v>12160</v>
      </c>
      <c r="S20" s="322">
        <v>11840</v>
      </c>
      <c r="T20" s="322">
        <v>11481</v>
      </c>
      <c r="U20" s="294">
        <v>10590</v>
      </c>
      <c r="V20" s="294">
        <v>10166</v>
      </c>
      <c r="W20" s="294">
        <v>9631</v>
      </c>
      <c r="X20" s="294">
        <v>9073</v>
      </c>
      <c r="Y20" s="294">
        <v>7900</v>
      </c>
      <c r="Z20" s="294">
        <v>7011</v>
      </c>
      <c r="AA20" s="294">
        <v>6146</v>
      </c>
      <c r="AC20" s="299">
        <v>29732</v>
      </c>
      <c r="AD20" s="299">
        <v>29027</v>
      </c>
      <c r="AE20" s="299">
        <v>28346</v>
      </c>
      <c r="AF20" s="299">
        <v>27267</v>
      </c>
      <c r="AG20" s="294">
        <v>25126</v>
      </c>
      <c r="AH20" s="294">
        <v>24441</v>
      </c>
      <c r="AI20" s="294">
        <v>23814</v>
      </c>
      <c r="AJ20" s="294">
        <v>23095</v>
      </c>
      <c r="AK20" s="294">
        <v>22240</v>
      </c>
      <c r="AL20" s="294">
        <v>21590</v>
      </c>
      <c r="AM20" s="294">
        <v>18739</v>
      </c>
      <c r="AO20" s="322">
        <v>27321</v>
      </c>
      <c r="AP20" s="322">
        <v>26555</v>
      </c>
      <c r="AQ20" s="322">
        <v>25815</v>
      </c>
      <c r="AR20" s="322">
        <v>25049</v>
      </c>
      <c r="AS20" s="294">
        <v>23379</v>
      </c>
      <c r="AT20" s="294">
        <v>22346</v>
      </c>
      <c r="AU20" s="294">
        <v>21231</v>
      </c>
      <c r="AV20" s="294">
        <v>20661</v>
      </c>
      <c r="AW20" s="294">
        <v>19552</v>
      </c>
      <c r="AX20" s="294">
        <v>18643</v>
      </c>
      <c r="AY20" s="294">
        <v>17684</v>
      </c>
    </row>
    <row r="21" spans="1:51" x14ac:dyDescent="0.2">
      <c r="A21" s="294" t="s">
        <v>263</v>
      </c>
      <c r="B21" s="294" t="s">
        <v>262</v>
      </c>
      <c r="C21" s="294" t="s">
        <v>385</v>
      </c>
      <c r="D21" s="294" t="s">
        <v>609</v>
      </c>
      <c r="E21" s="313">
        <v>12532</v>
      </c>
      <c r="F21" s="313">
        <v>12086</v>
      </c>
      <c r="G21" s="313">
        <v>11531</v>
      </c>
      <c r="H21" s="313">
        <v>11090</v>
      </c>
      <c r="I21" s="313">
        <v>10347</v>
      </c>
      <c r="J21" s="313">
        <v>9482</v>
      </c>
      <c r="K21" s="294">
        <v>9152</v>
      </c>
      <c r="L21" s="295">
        <v>8551</v>
      </c>
      <c r="M21" s="294">
        <v>7932</v>
      </c>
      <c r="N21" s="294">
        <v>7278</v>
      </c>
      <c r="O21" s="294">
        <v>6635</v>
      </c>
      <c r="Q21" s="322">
        <v>13246</v>
      </c>
      <c r="R21" s="322">
        <v>13013</v>
      </c>
      <c r="S21" s="322">
        <v>12599</v>
      </c>
      <c r="T21" s="322">
        <v>12320</v>
      </c>
      <c r="U21" s="294">
        <v>11514</v>
      </c>
      <c r="V21" s="294">
        <v>11164</v>
      </c>
      <c r="W21" s="294">
        <v>10867</v>
      </c>
      <c r="X21" s="294">
        <v>10430</v>
      </c>
      <c r="Y21" s="294">
        <v>9685</v>
      </c>
      <c r="Z21" s="294">
        <v>8934</v>
      </c>
      <c r="AA21" s="294">
        <v>8247</v>
      </c>
      <c r="AC21" s="299">
        <v>37286</v>
      </c>
      <c r="AD21" s="299">
        <v>36220</v>
      </c>
      <c r="AE21" s="299">
        <v>35079</v>
      </c>
      <c r="AF21" s="299">
        <v>34124</v>
      </c>
      <c r="AG21" s="294">
        <v>32115</v>
      </c>
      <c r="AH21" s="294">
        <v>31378</v>
      </c>
      <c r="AI21" s="294">
        <v>30330</v>
      </c>
      <c r="AJ21" s="294">
        <v>29493</v>
      </c>
      <c r="AK21" s="294">
        <v>28186</v>
      </c>
      <c r="AL21" s="294">
        <v>26756</v>
      </c>
      <c r="AM21" s="294">
        <v>24797</v>
      </c>
      <c r="AO21" s="322">
        <v>32146</v>
      </c>
      <c r="AP21" s="322">
        <v>31355</v>
      </c>
      <c r="AQ21" s="322">
        <v>30419</v>
      </c>
      <c r="AR21" s="322">
        <v>29618</v>
      </c>
      <c r="AS21" s="294">
        <v>28308</v>
      </c>
      <c r="AT21" s="294">
        <v>27634</v>
      </c>
      <c r="AU21" s="294">
        <v>26743</v>
      </c>
      <c r="AV21" s="294">
        <v>25550</v>
      </c>
      <c r="AW21" s="294">
        <v>24841</v>
      </c>
      <c r="AX21" s="294">
        <v>24126</v>
      </c>
      <c r="AY21" s="294">
        <v>23161</v>
      </c>
    </row>
    <row r="22" spans="1:51" x14ac:dyDescent="0.2">
      <c r="A22" s="294" t="s">
        <v>263</v>
      </c>
      <c r="B22" s="294" t="s">
        <v>262</v>
      </c>
      <c r="C22" s="294" t="s">
        <v>385</v>
      </c>
      <c r="D22" s="294" t="s">
        <v>608</v>
      </c>
      <c r="E22" s="313">
        <v>11396</v>
      </c>
      <c r="F22" s="313">
        <v>11258</v>
      </c>
      <c r="G22" s="313">
        <v>10741</v>
      </c>
      <c r="H22" s="313">
        <v>10369</v>
      </c>
      <c r="I22" s="313">
        <v>9476</v>
      </c>
      <c r="J22" s="313">
        <v>8940</v>
      </c>
      <c r="K22" s="294">
        <v>7702</v>
      </c>
      <c r="L22" s="295">
        <v>7101</v>
      </c>
      <c r="M22" s="294">
        <v>6542</v>
      </c>
      <c r="N22" s="294">
        <v>6279</v>
      </c>
      <c r="O22" s="294">
        <v>6123</v>
      </c>
      <c r="Q22" s="322">
        <v>10411</v>
      </c>
      <c r="R22" s="322">
        <v>10283</v>
      </c>
      <c r="S22" s="322">
        <v>12511</v>
      </c>
      <c r="T22" s="322">
        <v>9826</v>
      </c>
      <c r="U22" s="294">
        <v>9036</v>
      </c>
      <c r="V22" s="294">
        <v>8902</v>
      </c>
      <c r="W22" s="294">
        <v>7562</v>
      </c>
      <c r="X22" s="294">
        <v>7403</v>
      </c>
      <c r="Y22" s="294">
        <v>7170</v>
      </c>
      <c r="Z22" s="294">
        <v>7139</v>
      </c>
      <c r="AA22" s="294">
        <v>7353</v>
      </c>
      <c r="AC22" s="299">
        <v>32005</v>
      </c>
      <c r="AD22" s="299">
        <v>31448</v>
      </c>
      <c r="AE22" s="299">
        <v>30361</v>
      </c>
      <c r="AF22" s="299">
        <v>29299</v>
      </c>
      <c r="AG22" s="294">
        <v>25956</v>
      </c>
      <c r="AH22" s="294">
        <v>23618</v>
      </c>
      <c r="AI22" s="294">
        <v>22064</v>
      </c>
      <c r="AJ22" s="294">
        <v>20011</v>
      </c>
      <c r="AK22" s="294">
        <v>19574</v>
      </c>
      <c r="AL22" s="294">
        <v>19251</v>
      </c>
      <c r="AM22" s="294">
        <v>18079</v>
      </c>
      <c r="AO22" s="322">
        <v>31483</v>
      </c>
      <c r="AP22" s="322">
        <v>38828</v>
      </c>
      <c r="AQ22" s="322">
        <v>38611</v>
      </c>
      <c r="AR22" s="322">
        <v>30106</v>
      </c>
      <c r="AS22" s="294">
        <v>25654</v>
      </c>
      <c r="AT22" s="294">
        <v>22998</v>
      </c>
      <c r="AU22" s="294">
        <v>21800</v>
      </c>
      <c r="AV22" s="294">
        <v>19769</v>
      </c>
      <c r="AW22" s="294">
        <v>19720</v>
      </c>
      <c r="AX22" s="294">
        <v>18315</v>
      </c>
      <c r="AY22" s="294">
        <v>18257</v>
      </c>
    </row>
    <row r="23" spans="1:51" x14ac:dyDescent="0.2">
      <c r="A23" s="294" t="s">
        <v>263</v>
      </c>
      <c r="C23" s="294" t="s">
        <v>377</v>
      </c>
      <c r="D23" s="294" t="s">
        <v>607</v>
      </c>
      <c r="E23" s="313">
        <v>11395</v>
      </c>
      <c r="F23" s="313">
        <v>11754</v>
      </c>
      <c r="G23" s="313">
        <v>11732</v>
      </c>
      <c r="H23" s="313">
        <v>11164</v>
      </c>
      <c r="I23" s="313">
        <v>9904</v>
      </c>
      <c r="J23" s="313">
        <v>9404</v>
      </c>
      <c r="K23" s="294">
        <v>9100</v>
      </c>
      <c r="L23" s="295">
        <v>8096</v>
      </c>
      <c r="M23" s="294">
        <v>7168</v>
      </c>
      <c r="N23" s="294">
        <v>6259</v>
      </c>
      <c r="O23" s="294">
        <v>5391</v>
      </c>
      <c r="Q23" s="322">
        <v>16502</v>
      </c>
      <c r="R23" s="322">
        <v>16190</v>
      </c>
      <c r="S23" s="322">
        <v>16168</v>
      </c>
      <c r="T23" s="322">
        <v>15072</v>
      </c>
      <c r="U23" s="294">
        <v>13116</v>
      </c>
      <c r="V23" s="294">
        <v>12352</v>
      </c>
      <c r="W23" s="294">
        <v>11712</v>
      </c>
      <c r="X23" s="294">
        <v>10492</v>
      </c>
      <c r="Y23" s="294">
        <v>9348</v>
      </c>
      <c r="Z23" s="294">
        <v>8223</v>
      </c>
      <c r="AA23" s="294">
        <v>5812</v>
      </c>
      <c r="AC23" s="299">
        <v>34002</v>
      </c>
      <c r="AD23" s="299">
        <v>33786</v>
      </c>
      <c r="AE23" s="299">
        <v>33764</v>
      </c>
      <c r="AF23" s="299">
        <v>31516</v>
      </c>
      <c r="AG23" s="294">
        <v>27472</v>
      </c>
      <c r="AH23" s="294">
        <v>25652</v>
      </c>
      <c r="AI23" s="294">
        <v>23932</v>
      </c>
      <c r="AJ23" s="294">
        <v>21536</v>
      </c>
      <c r="AK23" s="294">
        <v>19216</v>
      </c>
      <c r="AL23" s="294">
        <v>16915</v>
      </c>
      <c r="AM23" s="294">
        <v>14655</v>
      </c>
      <c r="AO23" s="322">
        <v>37982</v>
      </c>
      <c r="AP23" s="322">
        <v>37670</v>
      </c>
      <c r="AQ23" s="322">
        <v>37648</v>
      </c>
      <c r="AR23" s="322">
        <v>35160</v>
      </c>
      <c r="AS23" s="294">
        <v>30660</v>
      </c>
      <c r="AT23" s="294">
        <v>28912</v>
      </c>
      <c r="AU23" s="294">
        <v>27504</v>
      </c>
      <c r="AV23" s="294">
        <v>24700</v>
      </c>
      <c r="AW23" s="294">
        <v>21972</v>
      </c>
      <c r="AX23" s="294">
        <v>19263</v>
      </c>
      <c r="AY23" s="294">
        <v>13204</v>
      </c>
    </row>
    <row r="24" spans="1:51" x14ac:dyDescent="0.2">
      <c r="A24" s="294" t="s">
        <v>263</v>
      </c>
      <c r="B24" s="294" t="s">
        <v>262</v>
      </c>
      <c r="C24" s="294" t="s">
        <v>363</v>
      </c>
      <c r="D24" s="294" t="s">
        <v>578</v>
      </c>
      <c r="E24" s="313">
        <v>7277</v>
      </c>
      <c r="F24" s="313">
        <v>7079</v>
      </c>
      <c r="G24" s="313">
        <v>6887</v>
      </c>
      <c r="H24" s="313">
        <v>6849</v>
      </c>
      <c r="I24" s="313">
        <v>6752</v>
      </c>
      <c r="J24" s="313">
        <v>6705</v>
      </c>
      <c r="K24" s="294">
        <v>6428</v>
      </c>
      <c r="L24" s="295">
        <v>6168</v>
      </c>
      <c r="M24" s="294">
        <v>5999</v>
      </c>
      <c r="N24" s="294">
        <v>5788</v>
      </c>
      <c r="O24" s="294">
        <v>5749</v>
      </c>
      <c r="Q24" s="322">
        <v>8408</v>
      </c>
      <c r="R24" s="322">
        <v>8177</v>
      </c>
      <c r="S24" s="322">
        <v>7953</v>
      </c>
      <c r="T24" s="322">
        <v>7915</v>
      </c>
      <c r="U24" s="294">
        <v>7818</v>
      </c>
      <c r="V24" s="294">
        <v>7771</v>
      </c>
      <c r="W24" s="294">
        <v>7443</v>
      </c>
      <c r="X24" s="294">
        <v>7135</v>
      </c>
      <c r="Y24" s="294">
        <v>6774</v>
      </c>
      <c r="Z24" s="294">
        <v>6700</v>
      </c>
      <c r="AA24" s="294">
        <v>6661</v>
      </c>
      <c r="AC24" s="299">
        <v>24993</v>
      </c>
      <c r="AD24" s="299">
        <v>24071</v>
      </c>
      <c r="AE24" s="299">
        <v>23186</v>
      </c>
      <c r="AF24" s="299">
        <v>22081</v>
      </c>
      <c r="AG24" s="294">
        <v>20717</v>
      </c>
      <c r="AH24" s="294">
        <v>20062</v>
      </c>
      <c r="AI24" s="294">
        <v>19152</v>
      </c>
      <c r="AJ24" s="294">
        <v>18291</v>
      </c>
      <c r="AK24" s="294">
        <v>17561</v>
      </c>
      <c r="AL24" s="294">
        <v>16988</v>
      </c>
      <c r="AM24" s="294">
        <v>16274</v>
      </c>
      <c r="AO24" s="322">
        <v>26123</v>
      </c>
      <c r="AP24" s="322">
        <v>25169</v>
      </c>
      <c r="AQ24" s="322">
        <v>24251</v>
      </c>
      <c r="AR24" s="322">
        <v>23146</v>
      </c>
      <c r="AS24" s="294">
        <v>21782</v>
      </c>
      <c r="AT24" s="294">
        <v>21127</v>
      </c>
      <c r="AU24" s="294">
        <v>20168</v>
      </c>
      <c r="AV24" s="294">
        <v>19258</v>
      </c>
      <c r="AW24" s="294">
        <v>18473</v>
      </c>
      <c r="AX24" s="294">
        <v>17900</v>
      </c>
      <c r="AY24" s="294">
        <v>17186</v>
      </c>
    </row>
    <row r="25" spans="1:51" x14ac:dyDescent="0.2">
      <c r="A25" s="294" t="s">
        <v>263</v>
      </c>
      <c r="B25" s="294" t="s">
        <v>262</v>
      </c>
      <c r="C25" s="294" t="s">
        <v>338</v>
      </c>
      <c r="D25" s="294" t="s">
        <v>606</v>
      </c>
      <c r="E25" s="313">
        <v>7322</v>
      </c>
      <c r="F25" s="313">
        <v>7146</v>
      </c>
      <c r="G25" s="313">
        <v>6950</v>
      </c>
      <c r="H25" s="313">
        <v>6664</v>
      </c>
      <c r="I25" s="313">
        <v>6846</v>
      </c>
      <c r="J25" s="313">
        <v>6050</v>
      </c>
      <c r="K25" s="294">
        <v>5809</v>
      </c>
      <c r="L25" s="295">
        <v>5506</v>
      </c>
      <c r="M25" s="294">
        <v>5101</v>
      </c>
      <c r="N25" s="294">
        <v>4834</v>
      </c>
      <c r="O25" s="294">
        <v>4571</v>
      </c>
      <c r="Q25" s="322">
        <v>8344</v>
      </c>
      <c r="R25" s="322">
        <v>8142</v>
      </c>
      <c r="S25" s="322">
        <v>7780</v>
      </c>
      <c r="T25" s="322">
        <v>7483</v>
      </c>
      <c r="U25" s="294">
        <v>7244</v>
      </c>
      <c r="V25" s="294">
        <v>6642</v>
      </c>
      <c r="W25" s="294">
        <v>6381</v>
      </c>
      <c r="X25" s="294">
        <v>6041</v>
      </c>
      <c r="Y25" s="294">
        <v>5597</v>
      </c>
      <c r="Z25" s="294">
        <v>5275</v>
      </c>
      <c r="AA25" s="294">
        <v>5024</v>
      </c>
      <c r="AC25" s="299">
        <v>22586</v>
      </c>
      <c r="AD25" s="299">
        <v>22409</v>
      </c>
      <c r="AE25" s="299">
        <v>21936</v>
      </c>
      <c r="AF25" s="299">
        <v>21304</v>
      </c>
      <c r="AG25" s="294">
        <v>20688</v>
      </c>
      <c r="AH25" s="294">
        <v>20688</v>
      </c>
      <c r="AI25" s="294">
        <v>19919</v>
      </c>
      <c r="AJ25" s="294">
        <v>18691</v>
      </c>
      <c r="AK25" s="294">
        <v>17254</v>
      </c>
      <c r="AL25" s="294">
        <v>15708</v>
      </c>
      <c r="AM25" s="294">
        <v>14943</v>
      </c>
      <c r="AO25" s="327">
        <v>24187</v>
      </c>
      <c r="AP25" s="327">
        <v>23599</v>
      </c>
      <c r="AQ25" s="327">
        <v>22642</v>
      </c>
      <c r="AR25" s="327">
        <v>21983</v>
      </c>
      <c r="AS25" s="294">
        <v>21322</v>
      </c>
      <c r="AT25" s="294">
        <v>21258</v>
      </c>
      <c r="AU25" s="294">
        <v>20469</v>
      </c>
      <c r="AV25" s="294">
        <v>19207</v>
      </c>
      <c r="AW25" s="294">
        <v>17732</v>
      </c>
      <c r="AX25" s="294">
        <v>16114</v>
      </c>
      <c r="AY25" s="294">
        <v>15362</v>
      </c>
    </row>
    <row r="26" spans="1:51" x14ac:dyDescent="0.2">
      <c r="A26" s="294" t="s">
        <v>263</v>
      </c>
      <c r="C26" s="294" t="s">
        <v>315</v>
      </c>
      <c r="D26" s="313" t="s">
        <v>605</v>
      </c>
      <c r="E26" s="313">
        <v>11211</v>
      </c>
      <c r="F26" s="313">
        <v>10797</v>
      </c>
      <c r="G26" s="313">
        <v>10366</v>
      </c>
      <c r="H26" s="313">
        <v>10107</v>
      </c>
      <c r="I26" s="313">
        <v>8322</v>
      </c>
      <c r="J26" s="313">
        <v>8139</v>
      </c>
      <c r="K26" s="294">
        <v>7600</v>
      </c>
      <c r="L26" s="295">
        <v>7115</v>
      </c>
      <c r="M26" s="294">
        <v>6727</v>
      </c>
      <c r="N26" s="294">
        <v>6187</v>
      </c>
      <c r="O26" s="294">
        <v>5912</v>
      </c>
      <c r="Q26" s="322">
        <v>14331</v>
      </c>
      <c r="R26" s="322">
        <v>14061</v>
      </c>
      <c r="S26" s="322">
        <v>13801</v>
      </c>
      <c r="T26" s="322">
        <v>13722</v>
      </c>
      <c r="U26" s="294">
        <v>13110</v>
      </c>
      <c r="V26" s="294">
        <v>12846</v>
      </c>
      <c r="W26" s="294">
        <v>12397</v>
      </c>
      <c r="X26" s="294">
        <v>11777</v>
      </c>
      <c r="Y26" s="294">
        <v>11413</v>
      </c>
      <c r="Z26" s="294">
        <v>10975</v>
      </c>
      <c r="AA26" s="294">
        <v>10573</v>
      </c>
      <c r="AC26" s="299">
        <v>30141</v>
      </c>
      <c r="AD26" s="299">
        <v>29457</v>
      </c>
      <c r="AE26" s="299">
        <v>28846</v>
      </c>
      <c r="AF26" s="299">
        <v>28767</v>
      </c>
      <c r="AG26" s="294">
        <v>23514</v>
      </c>
      <c r="AH26" s="294">
        <v>22323</v>
      </c>
      <c r="AI26" s="313">
        <v>21316</v>
      </c>
      <c r="AJ26" s="294">
        <v>20435</v>
      </c>
      <c r="AK26" s="294">
        <v>19651</v>
      </c>
      <c r="AL26" s="294">
        <v>18823</v>
      </c>
      <c r="AM26" s="294">
        <v>18187</v>
      </c>
      <c r="AO26" s="322">
        <v>25563</v>
      </c>
      <c r="AP26" s="322">
        <v>24483</v>
      </c>
      <c r="AQ26" s="322">
        <v>23440</v>
      </c>
      <c r="AR26" s="322">
        <v>22524</v>
      </c>
      <c r="AS26" s="294">
        <v>20643</v>
      </c>
      <c r="AT26" s="294">
        <v>19758</v>
      </c>
      <c r="AU26" s="294">
        <v>19012</v>
      </c>
      <c r="AV26" s="294">
        <v>18095</v>
      </c>
      <c r="AW26" s="294">
        <v>17488</v>
      </c>
      <c r="AX26" s="294">
        <v>16807</v>
      </c>
      <c r="AY26" s="294">
        <v>16243</v>
      </c>
    </row>
    <row r="27" spans="1:51" x14ac:dyDescent="0.2">
      <c r="A27" s="311" t="s">
        <v>263</v>
      </c>
      <c r="B27" s="311" t="s">
        <v>262</v>
      </c>
      <c r="C27" s="311" t="s">
        <v>306</v>
      </c>
      <c r="D27" s="311" t="s">
        <v>201</v>
      </c>
      <c r="E27" s="311">
        <v>9122</v>
      </c>
      <c r="F27" s="311">
        <v>8824</v>
      </c>
      <c r="G27" s="311">
        <v>8518</v>
      </c>
      <c r="H27" s="311">
        <v>8197</v>
      </c>
      <c r="I27" s="311">
        <v>7457</v>
      </c>
      <c r="J27" s="311">
        <v>7176</v>
      </c>
      <c r="K27" s="321">
        <v>6763</v>
      </c>
      <c r="L27" s="311">
        <v>6274</v>
      </c>
      <c r="M27" s="311">
        <v>5746</v>
      </c>
      <c r="N27" s="311">
        <v>5285</v>
      </c>
      <c r="O27" s="311">
        <v>4987</v>
      </c>
      <c r="P27" s="311"/>
      <c r="Q27" s="323">
        <v>8112</v>
      </c>
      <c r="R27" s="323">
        <v>7852</v>
      </c>
      <c r="S27" s="323">
        <v>8540.6200000000008</v>
      </c>
      <c r="T27" s="329">
        <v>8207</v>
      </c>
      <c r="U27" s="311">
        <v>7463</v>
      </c>
      <c r="V27" s="311">
        <v>7143</v>
      </c>
      <c r="W27" s="311">
        <v>6768</v>
      </c>
      <c r="X27" s="311">
        <v>6299</v>
      </c>
      <c r="Y27" s="311">
        <v>5751</v>
      </c>
      <c r="Z27" s="311">
        <v>5250</v>
      </c>
      <c r="AA27" s="311">
        <v>4990</v>
      </c>
      <c r="AB27" s="311"/>
      <c r="AC27" s="329">
        <v>29115</v>
      </c>
      <c r="AD27" s="329">
        <v>28067</v>
      </c>
      <c r="AE27" s="329">
        <v>27038</v>
      </c>
      <c r="AF27" s="329">
        <v>26022</v>
      </c>
      <c r="AG27" s="311">
        <v>23736</v>
      </c>
      <c r="AH27" s="311">
        <v>22777</v>
      </c>
      <c r="AI27" s="321">
        <v>21388</v>
      </c>
      <c r="AJ27" s="311">
        <v>19841</v>
      </c>
      <c r="AK27" s="311">
        <v>18136</v>
      </c>
      <c r="AL27" s="311">
        <v>16601</v>
      </c>
      <c r="AM27" s="311">
        <v>15662</v>
      </c>
      <c r="AN27" s="311"/>
      <c r="AO27" s="323">
        <v>25790</v>
      </c>
      <c r="AP27" s="323">
        <v>24866</v>
      </c>
      <c r="AQ27" s="323">
        <v>27381.200000000001</v>
      </c>
      <c r="AR27" s="329">
        <v>26340</v>
      </c>
      <c r="AS27" s="307">
        <v>24023</v>
      </c>
      <c r="AT27" s="307">
        <v>22914</v>
      </c>
      <c r="AU27" s="307">
        <v>21647</v>
      </c>
      <c r="AV27" s="307">
        <v>17170</v>
      </c>
      <c r="AW27" s="307">
        <v>18355</v>
      </c>
      <c r="AX27" s="307">
        <v>16761</v>
      </c>
      <c r="AY27" s="307">
        <v>15849</v>
      </c>
    </row>
    <row r="28" spans="1:51" x14ac:dyDescent="0.2">
      <c r="A28" s="294" t="s">
        <v>263</v>
      </c>
      <c r="C28" s="294" t="s">
        <v>271</v>
      </c>
      <c r="D28" s="294" t="s">
        <v>604</v>
      </c>
      <c r="E28" s="313">
        <v>11207</v>
      </c>
      <c r="F28" s="313">
        <v>10974</v>
      </c>
      <c r="G28" s="313">
        <v>10753</v>
      </c>
      <c r="H28" s="313">
        <v>11839</v>
      </c>
      <c r="I28" s="313">
        <v>12173</v>
      </c>
      <c r="J28" s="313">
        <v>12155</v>
      </c>
      <c r="K28" s="294">
        <v>10574</v>
      </c>
      <c r="L28" s="295">
        <v>8701</v>
      </c>
      <c r="M28" s="294">
        <v>7692</v>
      </c>
      <c r="N28" s="294">
        <v>6802</v>
      </c>
      <c r="O28" s="294">
        <v>6385</v>
      </c>
      <c r="Q28" s="322">
        <v>16590</v>
      </c>
      <c r="R28" s="322">
        <v>16272</v>
      </c>
      <c r="S28" s="322">
        <v>16266</v>
      </c>
      <c r="T28" s="322">
        <v>16278</v>
      </c>
      <c r="U28" s="294">
        <v>15079</v>
      </c>
      <c r="V28" s="294">
        <v>14130</v>
      </c>
      <c r="W28" s="294">
        <v>12898</v>
      </c>
      <c r="X28" s="294">
        <v>11449</v>
      </c>
      <c r="Y28" s="294">
        <v>10727</v>
      </c>
      <c r="Z28" s="294">
        <v>10047</v>
      </c>
      <c r="AA28" s="294">
        <v>9312</v>
      </c>
      <c r="AC28" s="299">
        <v>36588</v>
      </c>
      <c r="AD28" s="299">
        <v>35538</v>
      </c>
      <c r="AE28" s="299">
        <v>34811</v>
      </c>
      <c r="AF28" s="299">
        <v>34143</v>
      </c>
      <c r="AG28" s="294">
        <v>31747</v>
      </c>
      <c r="AH28" s="294">
        <v>29710</v>
      </c>
      <c r="AI28" s="294">
        <v>28148</v>
      </c>
      <c r="AJ28" s="294">
        <v>25329</v>
      </c>
      <c r="AK28" s="294">
        <v>24367</v>
      </c>
      <c r="AL28" s="294">
        <v>23139</v>
      </c>
      <c r="AM28" s="294">
        <v>22131</v>
      </c>
      <c r="AO28" s="322">
        <v>28881</v>
      </c>
      <c r="AP28" s="322">
        <v>28320</v>
      </c>
      <c r="AQ28" s="322">
        <v>28314</v>
      </c>
      <c r="AR28" s="322">
        <v>28326</v>
      </c>
      <c r="AS28" s="294">
        <v>27328</v>
      </c>
      <c r="AT28" s="294">
        <v>26540</v>
      </c>
      <c r="AU28" s="294">
        <v>25768</v>
      </c>
      <c r="AV28" s="294">
        <v>24789</v>
      </c>
      <c r="AW28" s="294">
        <v>24067</v>
      </c>
      <c r="AX28" s="294">
        <v>22519</v>
      </c>
      <c r="AY28" s="294">
        <v>21359</v>
      </c>
    </row>
    <row r="29" spans="1:51" x14ac:dyDescent="0.2">
      <c r="A29" s="294" t="s">
        <v>263</v>
      </c>
      <c r="C29" s="294" t="s">
        <v>271</v>
      </c>
      <c r="D29" s="294" t="s">
        <v>603</v>
      </c>
      <c r="E29" s="313">
        <v>11584</v>
      </c>
      <c r="F29" s="313">
        <v>11138</v>
      </c>
      <c r="G29" s="313">
        <v>10894</v>
      </c>
      <c r="H29" s="313">
        <v>11926</v>
      </c>
      <c r="I29" s="313">
        <v>12327</v>
      </c>
      <c r="J29" s="313">
        <v>12302</v>
      </c>
      <c r="K29" s="294">
        <v>10749</v>
      </c>
      <c r="L29" s="295">
        <v>9489</v>
      </c>
      <c r="M29" s="294">
        <v>8489</v>
      </c>
      <c r="N29" s="294">
        <v>7564</v>
      </c>
      <c r="O29" s="294">
        <v>6866</v>
      </c>
      <c r="Q29" s="322">
        <v>13099</v>
      </c>
      <c r="R29" s="322">
        <v>12752</v>
      </c>
      <c r="S29" s="322">
        <v>12744</v>
      </c>
      <c r="T29" s="322">
        <v>12744</v>
      </c>
      <c r="U29" s="294">
        <v>12627</v>
      </c>
      <c r="V29" s="294">
        <v>12600</v>
      </c>
      <c r="W29" s="294">
        <v>11051</v>
      </c>
      <c r="X29" s="294">
        <v>9699</v>
      </c>
      <c r="Y29" s="294">
        <v>9295</v>
      </c>
      <c r="Z29" s="294">
        <v>8912</v>
      </c>
      <c r="AA29" s="294">
        <v>7550</v>
      </c>
      <c r="AC29" s="299">
        <v>25793</v>
      </c>
      <c r="AD29" s="299">
        <v>25210</v>
      </c>
      <c r="AE29" s="299">
        <v>25526</v>
      </c>
      <c r="AF29" s="299">
        <v>25526</v>
      </c>
      <c r="AG29" s="294">
        <v>25409</v>
      </c>
      <c r="AH29" s="294">
        <v>25384</v>
      </c>
      <c r="AI29" s="294">
        <v>22027</v>
      </c>
      <c r="AJ29" s="294">
        <v>20531</v>
      </c>
      <c r="AK29" s="294">
        <v>19565</v>
      </c>
      <c r="AL29" s="294">
        <v>18600</v>
      </c>
      <c r="AM29" s="294">
        <v>17180</v>
      </c>
      <c r="AO29" s="322">
        <v>26481</v>
      </c>
      <c r="AP29" s="322">
        <v>25624</v>
      </c>
      <c r="AQ29" s="322">
        <v>26176</v>
      </c>
      <c r="AR29" s="322">
        <v>26176</v>
      </c>
      <c r="AS29" s="294">
        <v>26059</v>
      </c>
      <c r="AT29" s="294">
        <v>26032</v>
      </c>
      <c r="AU29" s="294">
        <v>24205</v>
      </c>
      <c r="AV29" s="294">
        <v>22497</v>
      </c>
      <c r="AW29" s="294">
        <v>21483</v>
      </c>
      <c r="AX29" s="294">
        <v>20520</v>
      </c>
      <c r="AY29" s="294">
        <v>18398</v>
      </c>
    </row>
    <row r="31" spans="1:51" s="295" customFormat="1" ht="12" customHeight="1" x14ac:dyDescent="0.2">
      <c r="D31" s="296" t="s">
        <v>259</v>
      </c>
      <c r="E31" s="296">
        <f>COUNT(E9:E29)</f>
        <v>21</v>
      </c>
      <c r="F31" s="296">
        <f>COUNT(F9:F29)</f>
        <v>21</v>
      </c>
      <c r="G31" s="296">
        <f t="shared" ref="G31:L31" si="0">COUNT(G9:G29)</f>
        <v>21</v>
      </c>
      <c r="H31" s="296">
        <f t="shared" si="0"/>
        <v>21</v>
      </c>
      <c r="I31" s="296">
        <f t="shared" si="0"/>
        <v>21</v>
      </c>
      <c r="J31" s="296">
        <f t="shared" si="0"/>
        <v>21</v>
      </c>
      <c r="K31" s="296">
        <f t="shared" si="0"/>
        <v>21</v>
      </c>
      <c r="L31" s="296">
        <f t="shared" si="0"/>
        <v>21</v>
      </c>
      <c r="M31" s="296">
        <v>21</v>
      </c>
      <c r="N31" s="296">
        <v>21</v>
      </c>
      <c r="O31" s="296">
        <v>21</v>
      </c>
      <c r="Q31" s="298">
        <f>COUNT(Q9:Q29)</f>
        <v>21</v>
      </c>
      <c r="R31" s="298">
        <f>COUNT(R9:R29)</f>
        <v>21</v>
      </c>
      <c r="S31" s="297">
        <f t="shared" ref="S31:X31" si="1">COUNT(S9:S29)</f>
        <v>21</v>
      </c>
      <c r="T31" s="297">
        <f t="shared" si="1"/>
        <v>21</v>
      </c>
      <c r="U31" s="297">
        <f t="shared" si="1"/>
        <v>21</v>
      </c>
      <c r="V31" s="297">
        <f t="shared" si="1"/>
        <v>21</v>
      </c>
      <c r="W31" s="296">
        <f t="shared" si="1"/>
        <v>21</v>
      </c>
      <c r="X31" s="296">
        <f t="shared" si="1"/>
        <v>21</v>
      </c>
      <c r="Y31" s="296">
        <v>21</v>
      </c>
      <c r="Z31" s="296">
        <v>21</v>
      </c>
      <c r="AA31" s="296">
        <v>21</v>
      </c>
      <c r="AC31" s="298">
        <f>COUNT(AC9:AC29)</f>
        <v>21</v>
      </c>
      <c r="AD31" s="298">
        <f>COUNT(AD9:AD29)</f>
        <v>21</v>
      </c>
      <c r="AE31" s="297">
        <f t="shared" ref="AE31:AJ31" si="2">COUNT(AE9:AE29)</f>
        <v>21</v>
      </c>
      <c r="AF31" s="297">
        <f t="shared" si="2"/>
        <v>21</v>
      </c>
      <c r="AG31" s="297">
        <f t="shared" si="2"/>
        <v>21</v>
      </c>
      <c r="AH31" s="297">
        <f t="shared" si="2"/>
        <v>21</v>
      </c>
      <c r="AI31" s="296">
        <f t="shared" si="2"/>
        <v>21</v>
      </c>
      <c r="AJ31" s="296">
        <f t="shared" si="2"/>
        <v>21</v>
      </c>
      <c r="AK31" s="296">
        <v>21</v>
      </c>
      <c r="AL31" s="296">
        <v>21</v>
      </c>
      <c r="AM31" s="296">
        <v>21</v>
      </c>
      <c r="AO31" s="298">
        <f>COUNT(AO9:AO29)</f>
        <v>21</v>
      </c>
      <c r="AP31" s="298">
        <f>COUNT(AP9:AP29)</f>
        <v>21</v>
      </c>
      <c r="AQ31" s="297">
        <f t="shared" ref="AQ31:AV31" si="3">COUNT(AQ9:AQ29)</f>
        <v>21</v>
      </c>
      <c r="AR31" s="297">
        <f t="shared" si="3"/>
        <v>21</v>
      </c>
      <c r="AS31" s="297">
        <f t="shared" si="3"/>
        <v>21</v>
      </c>
      <c r="AT31" s="297">
        <f t="shared" si="3"/>
        <v>21</v>
      </c>
      <c r="AU31" s="296">
        <f t="shared" si="3"/>
        <v>21</v>
      </c>
      <c r="AV31" s="296">
        <f t="shared" si="3"/>
        <v>21</v>
      </c>
      <c r="AW31" s="296">
        <v>21</v>
      </c>
      <c r="AX31" s="296">
        <v>21</v>
      </c>
      <c r="AY31" s="296">
        <v>21</v>
      </c>
    </row>
    <row r="32" spans="1:51" s="295" customFormat="1" x14ac:dyDescent="0.2">
      <c r="D32" s="296" t="s">
        <v>257</v>
      </c>
      <c r="E32" s="296">
        <f>MAX(E9:E29)</f>
        <v>14402</v>
      </c>
      <c r="F32" s="296">
        <f>MAX(F9:F29)</f>
        <v>14451</v>
      </c>
      <c r="G32" s="296">
        <f>MAX(G9:G29)</f>
        <v>14073</v>
      </c>
      <c r="H32" s="296">
        <f>MAX(H9:H29)</f>
        <v>13973</v>
      </c>
      <c r="I32" s="296">
        <f t="shared" ref="I32:O32" si="4">MAX(I9:I29)</f>
        <v>13896</v>
      </c>
      <c r="J32" s="296">
        <f t="shared" si="4"/>
        <v>13877</v>
      </c>
      <c r="K32" s="296">
        <f t="shared" si="4"/>
        <v>13860</v>
      </c>
      <c r="L32" s="296">
        <f t="shared" si="4"/>
        <v>9943</v>
      </c>
      <c r="M32" s="861">
        <f t="shared" si="4"/>
        <v>9358</v>
      </c>
      <c r="N32" s="861">
        <f t="shared" si="4"/>
        <v>8639</v>
      </c>
      <c r="O32" s="861">
        <f t="shared" si="4"/>
        <v>8124</v>
      </c>
      <c r="P32" s="862"/>
      <c r="Q32" s="859">
        <f>MAX(Q9:Q29)</f>
        <v>16590</v>
      </c>
      <c r="R32" s="859">
        <f>MAX(R9:R29)</f>
        <v>16272</v>
      </c>
      <c r="S32" s="863">
        <f>MAX(S9:S29)</f>
        <v>16266</v>
      </c>
      <c r="T32" s="863">
        <f>MAX(T9:T29)</f>
        <v>16278</v>
      </c>
      <c r="U32" s="863">
        <f t="shared" ref="U32:AA32" si="5">MAX(U9:U29)</f>
        <v>15079</v>
      </c>
      <c r="V32" s="863">
        <f t="shared" si="5"/>
        <v>14130</v>
      </c>
      <c r="W32" s="296">
        <f t="shared" si="5"/>
        <v>13279</v>
      </c>
      <c r="X32" s="296">
        <f t="shared" si="5"/>
        <v>11777</v>
      </c>
      <c r="Y32" s="861">
        <f t="shared" si="5"/>
        <v>12101</v>
      </c>
      <c r="Z32" s="861">
        <f t="shared" si="5"/>
        <v>11723</v>
      </c>
      <c r="AA32" s="861">
        <f t="shared" si="5"/>
        <v>11723</v>
      </c>
      <c r="AB32" s="862"/>
      <c r="AC32" s="859">
        <f>MAX(AC9:AC29)</f>
        <v>43394</v>
      </c>
      <c r="AD32" s="859">
        <f>MAX(AD9:AD29)</f>
        <v>42465</v>
      </c>
      <c r="AE32" s="863">
        <f>MAX(AE9:AE29)</f>
        <v>40755</v>
      </c>
      <c r="AF32" s="863">
        <f>MAX(AF9:AF29)</f>
        <v>38681</v>
      </c>
      <c r="AG32" s="863">
        <f t="shared" ref="AG32:AM32" si="6">MAX(AG9:AG29)</f>
        <v>36774</v>
      </c>
      <c r="AH32" s="863">
        <f t="shared" si="6"/>
        <v>36755</v>
      </c>
      <c r="AI32" s="296">
        <f t="shared" si="6"/>
        <v>38001</v>
      </c>
      <c r="AJ32" s="296">
        <f t="shared" si="6"/>
        <v>34837</v>
      </c>
      <c r="AK32" s="861">
        <f t="shared" si="6"/>
        <v>32027</v>
      </c>
      <c r="AL32" s="861">
        <f t="shared" si="6"/>
        <v>29247</v>
      </c>
      <c r="AM32" s="861">
        <f t="shared" si="6"/>
        <v>27744</v>
      </c>
      <c r="AN32" s="862"/>
      <c r="AO32" s="859">
        <f>MAX(AO9:AO29)</f>
        <v>37982</v>
      </c>
      <c r="AP32" s="859">
        <f>MAX(AP9:AP29)</f>
        <v>38828</v>
      </c>
      <c r="AQ32" s="863">
        <f>MAX(AQ9:AQ29)</f>
        <v>38611</v>
      </c>
      <c r="AR32" s="863">
        <f>MAX(AR9:AR29)</f>
        <v>35160</v>
      </c>
      <c r="AS32" s="863">
        <f t="shared" ref="AS32:AY32" si="7">MAX(AS9:AS29)</f>
        <v>30660</v>
      </c>
      <c r="AT32" s="863">
        <f t="shared" si="7"/>
        <v>28912</v>
      </c>
      <c r="AU32" s="296">
        <f t="shared" si="7"/>
        <v>28381</v>
      </c>
      <c r="AV32" s="296">
        <f t="shared" si="7"/>
        <v>26486</v>
      </c>
      <c r="AW32" s="861">
        <f t="shared" si="7"/>
        <v>27137</v>
      </c>
      <c r="AX32" s="861">
        <f t="shared" si="7"/>
        <v>26366</v>
      </c>
      <c r="AY32" s="861">
        <f t="shared" si="7"/>
        <v>25718</v>
      </c>
    </row>
    <row r="33" spans="1:51" s="295" customFormat="1" x14ac:dyDescent="0.2">
      <c r="D33" s="296" t="s">
        <v>256</v>
      </c>
      <c r="E33" s="296">
        <f>MIN(E9:E29)</f>
        <v>7277</v>
      </c>
      <c r="F33" s="296">
        <f>MIN(F9:F29)</f>
        <v>7079</v>
      </c>
      <c r="G33" s="296">
        <f>MIN(G9:G29)</f>
        <v>6887</v>
      </c>
      <c r="H33" s="296">
        <f>MIN(H9:H29)</f>
        <v>6664</v>
      </c>
      <c r="I33" s="296">
        <f t="shared" ref="I33:O33" si="8">MIN(I9:I29)</f>
        <v>6752</v>
      </c>
      <c r="J33" s="296">
        <f t="shared" si="8"/>
        <v>6050</v>
      </c>
      <c r="K33" s="296">
        <f t="shared" si="8"/>
        <v>5809</v>
      </c>
      <c r="L33" s="296">
        <f t="shared" si="8"/>
        <v>5506</v>
      </c>
      <c r="M33" s="861">
        <f t="shared" si="8"/>
        <v>5101</v>
      </c>
      <c r="N33" s="861">
        <f t="shared" si="8"/>
        <v>4834</v>
      </c>
      <c r="O33" s="861">
        <f t="shared" si="8"/>
        <v>4571</v>
      </c>
      <c r="P33" s="862"/>
      <c r="Q33" s="859">
        <f>MIN(Q9:Q29)</f>
        <v>8112</v>
      </c>
      <c r="R33" s="859">
        <f>MIN(R9:R29)</f>
        <v>7852</v>
      </c>
      <c r="S33" s="863">
        <f>MIN(S9:S29)</f>
        <v>7780</v>
      </c>
      <c r="T33" s="863">
        <f>MIN(T9:T29)</f>
        <v>7483</v>
      </c>
      <c r="U33" s="863">
        <f t="shared" ref="U33:AA33" si="9">MIN(U9:U29)</f>
        <v>7244</v>
      </c>
      <c r="V33" s="863">
        <f t="shared" si="9"/>
        <v>6642</v>
      </c>
      <c r="W33" s="296">
        <f t="shared" si="9"/>
        <v>6381</v>
      </c>
      <c r="X33" s="296">
        <f t="shared" si="9"/>
        <v>6041</v>
      </c>
      <c r="Y33" s="861">
        <f t="shared" si="9"/>
        <v>5597</v>
      </c>
      <c r="Z33" s="861">
        <f t="shared" si="9"/>
        <v>5250</v>
      </c>
      <c r="AA33" s="861">
        <f t="shared" si="9"/>
        <v>4990</v>
      </c>
      <c r="AB33" s="862"/>
      <c r="AC33" s="859">
        <f>MIN(AC9:AC29)</f>
        <v>22586</v>
      </c>
      <c r="AD33" s="859">
        <f>MIN(AD9:AD29)</f>
        <v>22409</v>
      </c>
      <c r="AE33" s="863">
        <f>MIN(AE9:AE29)</f>
        <v>21936</v>
      </c>
      <c r="AF33" s="863">
        <f>MIN(AF9:AF29)</f>
        <v>21304</v>
      </c>
      <c r="AG33" s="863">
        <f t="shared" ref="AG33:AM33" si="10">MIN(AG9:AG29)</f>
        <v>20688</v>
      </c>
      <c r="AH33" s="863">
        <f t="shared" si="10"/>
        <v>20062</v>
      </c>
      <c r="AI33" s="296">
        <f t="shared" si="10"/>
        <v>19152</v>
      </c>
      <c r="AJ33" s="296">
        <f t="shared" si="10"/>
        <v>18291</v>
      </c>
      <c r="AK33" s="861">
        <f t="shared" si="10"/>
        <v>17254</v>
      </c>
      <c r="AL33" s="861">
        <f t="shared" si="10"/>
        <v>15708</v>
      </c>
      <c r="AM33" s="861">
        <f t="shared" si="10"/>
        <v>14655</v>
      </c>
      <c r="AN33" s="862"/>
      <c r="AO33" s="859">
        <f>MIN(AO9:AO29)</f>
        <v>24187</v>
      </c>
      <c r="AP33" s="859">
        <f>MIN(AP9:AP29)</f>
        <v>23599</v>
      </c>
      <c r="AQ33" s="863">
        <f>MIN(AQ9:AQ29)</f>
        <v>22642</v>
      </c>
      <c r="AR33" s="863">
        <f>MIN(AR9:AR29)</f>
        <v>21983</v>
      </c>
      <c r="AS33" s="863">
        <f t="shared" ref="AS33:AY33" si="11">MIN(AS9:AS29)</f>
        <v>20643</v>
      </c>
      <c r="AT33" s="863">
        <f t="shared" si="11"/>
        <v>19758</v>
      </c>
      <c r="AU33" s="296">
        <f t="shared" si="11"/>
        <v>19012</v>
      </c>
      <c r="AV33" s="296">
        <f t="shared" si="11"/>
        <v>17170</v>
      </c>
      <c r="AW33" s="861">
        <f t="shared" si="11"/>
        <v>17488</v>
      </c>
      <c r="AX33" s="861">
        <f t="shared" si="11"/>
        <v>16114</v>
      </c>
      <c r="AY33" s="861">
        <f t="shared" si="11"/>
        <v>13204</v>
      </c>
    </row>
    <row r="34" spans="1:51" s="295" customFormat="1" x14ac:dyDescent="0.2">
      <c r="D34" s="296" t="s">
        <v>255</v>
      </c>
      <c r="E34" s="296">
        <f>AVERAGE(E9:E29)</f>
        <v>12073.428571428571</v>
      </c>
      <c r="F34" s="296">
        <f>AVERAGE(F9:F29)</f>
        <v>11961.333333333334</v>
      </c>
      <c r="G34" s="296">
        <f>AVERAGE(G9:G29)</f>
        <v>11607.047619047618</v>
      </c>
      <c r="H34" s="296">
        <f t="shared" ref="H34:M34" si="12">AVERAGE(H9:H29)</f>
        <v>11512.190476190477</v>
      </c>
      <c r="I34" s="296">
        <f t="shared" si="12"/>
        <v>11067.142857142857</v>
      </c>
      <c r="J34" s="296">
        <f t="shared" si="12"/>
        <v>10840.761904761905</v>
      </c>
      <c r="K34" s="296">
        <f t="shared" si="12"/>
        <v>10497.809523809523</v>
      </c>
      <c r="L34" s="296">
        <f t="shared" si="12"/>
        <v>8283.6190476190477</v>
      </c>
      <c r="M34" s="861">
        <f t="shared" si="12"/>
        <v>7611.666666666667</v>
      </c>
      <c r="N34" s="861">
        <v>5871.85</v>
      </c>
      <c r="O34" s="861">
        <f>AVERAGE(O9:O29)</f>
        <v>6451.2857142857147</v>
      </c>
      <c r="P34" s="862"/>
      <c r="Q34" s="859">
        <f>AVERAGE(Q9:Q29)</f>
        <v>12768.619047619048</v>
      </c>
      <c r="R34" s="859">
        <f>AVERAGE(R9:R29)</f>
        <v>12644.857142857143</v>
      </c>
      <c r="S34" s="863">
        <f>AVERAGE(S9:S29)</f>
        <v>12515.458095238095</v>
      </c>
      <c r="T34" s="863">
        <f>AVERAGE(T9:T29)</f>
        <v>12219.857142857143</v>
      </c>
      <c r="U34" s="863">
        <f t="shared" ref="U34:AA34" si="13">AVERAGE(U9:U29)</f>
        <v>11728.238095238095</v>
      </c>
      <c r="V34" s="863">
        <f t="shared" si="13"/>
        <v>11525.142857142857</v>
      </c>
      <c r="W34" s="296">
        <f t="shared" si="13"/>
        <v>11175.571428571429</v>
      </c>
      <c r="X34" s="296">
        <f t="shared" si="13"/>
        <v>9965.0476190476184</v>
      </c>
      <c r="Y34" s="861">
        <f t="shared" si="13"/>
        <v>9765.7619047619046</v>
      </c>
      <c r="Z34" s="861">
        <f t="shared" si="13"/>
        <v>9119.4761904761908</v>
      </c>
      <c r="AA34" s="861">
        <f t="shared" si="13"/>
        <v>8482.2857142857138</v>
      </c>
      <c r="AB34" s="862"/>
      <c r="AC34" s="859">
        <f>AVERAGE(AC9:AC29)</f>
        <v>35833.523809523809</v>
      </c>
      <c r="AD34" s="859">
        <f>AVERAGE(AD9:AD29)</f>
        <v>35046.761904761908</v>
      </c>
      <c r="AE34" s="863">
        <f>AVERAGE(AE9:AE29)</f>
        <v>33923.952380952382</v>
      </c>
      <c r="AF34" s="863">
        <f>AVERAGE(AF9:AF29)</f>
        <v>32458.190476190477</v>
      </c>
      <c r="AG34" s="863">
        <f t="shared" ref="AG34:AM34" si="14">AVERAGE(AG9:AG29)</f>
        <v>30107.095238095237</v>
      </c>
      <c r="AH34" s="863">
        <f t="shared" si="14"/>
        <v>29525.619047619046</v>
      </c>
      <c r="AI34" s="296">
        <f t="shared" si="14"/>
        <v>29290.238095238095</v>
      </c>
      <c r="AJ34" s="296">
        <f t="shared" si="14"/>
        <v>27135.523809523809</v>
      </c>
      <c r="AK34" s="861">
        <f t="shared" si="14"/>
        <v>25242.666666666668</v>
      </c>
      <c r="AL34" s="861">
        <f t="shared" si="14"/>
        <v>23257.095238095237</v>
      </c>
      <c r="AM34" s="861">
        <f t="shared" si="14"/>
        <v>21803.952380952382</v>
      </c>
      <c r="AN34" s="862"/>
      <c r="AO34" s="859">
        <f>AVERAGE(AO9:AO29)</f>
        <v>28934.285714285714</v>
      </c>
      <c r="AP34" s="859">
        <f>AVERAGE(AP9:AP29)</f>
        <v>28900.619047619046</v>
      </c>
      <c r="AQ34" s="863">
        <f>AVERAGE(AQ9:AQ29)</f>
        <v>28575.961904761902</v>
      </c>
      <c r="AR34" s="863">
        <f>AVERAGE(AR9:AR29)</f>
        <v>27637.761904761905</v>
      </c>
      <c r="AS34" s="863">
        <f t="shared" ref="AS34:AY34" si="15">AVERAGE(AS9:AS29)</f>
        <v>26400.857142857141</v>
      </c>
      <c r="AT34" s="863">
        <f t="shared" si="15"/>
        <v>25862.333333333332</v>
      </c>
      <c r="AU34" s="296">
        <f t="shared" si="15"/>
        <v>25268.095238095237</v>
      </c>
      <c r="AV34" s="296">
        <f t="shared" si="15"/>
        <v>23514.190476190477</v>
      </c>
      <c r="AW34" s="861">
        <f t="shared" si="15"/>
        <v>23078.238095238095</v>
      </c>
      <c r="AX34" s="861">
        <f t="shared" si="15"/>
        <v>21850.714285714286</v>
      </c>
      <c r="AY34" s="861">
        <f t="shared" si="15"/>
        <v>20694.666666666668</v>
      </c>
    </row>
    <row r="35" spans="1:51" s="295" customFormat="1" x14ac:dyDescent="0.2">
      <c r="D35" s="296" t="s">
        <v>602</v>
      </c>
      <c r="E35" s="296">
        <f>RANK(E27,E9:E29,0)</f>
        <v>19</v>
      </c>
      <c r="F35" s="296">
        <f>RANK(F27,F9:F29,0)</f>
        <v>19</v>
      </c>
      <c r="G35" s="296">
        <f t="shared" ref="G35:L35" si="16">RANK(G27,G9:G29,0)</f>
        <v>19</v>
      </c>
      <c r="H35" s="296">
        <f t="shared" si="16"/>
        <v>19</v>
      </c>
      <c r="I35" s="296">
        <f t="shared" si="16"/>
        <v>19</v>
      </c>
      <c r="J35" s="296">
        <f t="shared" si="16"/>
        <v>19</v>
      </c>
      <c r="K35" s="296">
        <f t="shared" si="16"/>
        <v>19</v>
      </c>
      <c r="L35" s="296">
        <f t="shared" si="16"/>
        <v>19</v>
      </c>
      <c r="M35" s="296">
        <v>20</v>
      </c>
      <c r="N35" s="296">
        <v>20</v>
      </c>
      <c r="O35" s="296">
        <v>19</v>
      </c>
      <c r="Q35" s="298">
        <f>RANK(Q27,Q9:Q29,0)</f>
        <v>21</v>
      </c>
      <c r="R35" s="298">
        <f t="shared" ref="R35:W35" si="17">RANK(R27,R9:R29,0)</f>
        <v>21</v>
      </c>
      <c r="S35" s="297">
        <f t="shared" si="17"/>
        <v>19</v>
      </c>
      <c r="T35" s="297">
        <f t="shared" si="17"/>
        <v>19</v>
      </c>
      <c r="U35" s="297">
        <f t="shared" si="17"/>
        <v>20</v>
      </c>
      <c r="V35" s="297">
        <f t="shared" si="17"/>
        <v>20</v>
      </c>
      <c r="W35" s="296">
        <f t="shared" si="17"/>
        <v>20</v>
      </c>
      <c r="X35" s="296">
        <v>20</v>
      </c>
      <c r="Y35" s="296">
        <v>20</v>
      </c>
      <c r="Z35" s="296">
        <v>21</v>
      </c>
      <c r="AA35" s="296">
        <v>21</v>
      </c>
      <c r="AC35" s="298">
        <f>RANK(AC27,AC9:AC29,0)</f>
        <v>17</v>
      </c>
      <c r="AD35" s="298">
        <f t="shared" ref="AD35:AI35" si="18">RANK(AD27,AD9:AD29,0)</f>
        <v>17</v>
      </c>
      <c r="AE35" s="297">
        <f t="shared" si="18"/>
        <v>17</v>
      </c>
      <c r="AF35" s="297">
        <f t="shared" si="18"/>
        <v>17</v>
      </c>
      <c r="AG35" s="297">
        <f t="shared" si="18"/>
        <v>17</v>
      </c>
      <c r="AH35" s="297">
        <f t="shared" si="18"/>
        <v>18</v>
      </c>
      <c r="AI35" s="296">
        <f t="shared" si="18"/>
        <v>18</v>
      </c>
      <c r="AJ35" s="296">
        <v>19</v>
      </c>
      <c r="AK35" s="296">
        <v>19</v>
      </c>
      <c r="AL35" s="296">
        <v>20</v>
      </c>
      <c r="AM35" s="296">
        <v>19</v>
      </c>
      <c r="AO35" s="298">
        <f t="shared" ref="AO35:AU35" si="19">RANK(AO27,AO9:AO29,0)</f>
        <v>19</v>
      </c>
      <c r="AP35" s="298">
        <f t="shared" si="19"/>
        <v>19</v>
      </c>
      <c r="AQ35" s="297">
        <f t="shared" si="19"/>
        <v>16</v>
      </c>
      <c r="AR35" s="297">
        <f t="shared" si="19"/>
        <v>16</v>
      </c>
      <c r="AS35" s="297">
        <f t="shared" si="19"/>
        <v>17</v>
      </c>
      <c r="AT35" s="297">
        <f t="shared" si="19"/>
        <v>17</v>
      </c>
      <c r="AU35" s="296">
        <f t="shared" si="19"/>
        <v>17</v>
      </c>
      <c r="AV35" s="296">
        <v>21</v>
      </c>
      <c r="AW35" s="296">
        <v>19</v>
      </c>
      <c r="AX35" s="296">
        <v>20</v>
      </c>
      <c r="AY35" s="296">
        <v>19</v>
      </c>
    </row>
    <row r="36" spans="1:51" s="295" customFormat="1" x14ac:dyDescent="0.2">
      <c r="D36" s="296"/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6"/>
      <c r="Q36" s="298"/>
      <c r="R36" s="298"/>
      <c r="S36" s="297"/>
      <c r="T36" s="297"/>
      <c r="U36" s="297"/>
      <c r="V36" s="297"/>
      <c r="W36" s="296"/>
      <c r="X36" s="296"/>
      <c r="Y36" s="296"/>
      <c r="Z36" s="296"/>
      <c r="AA36" s="296"/>
      <c r="AC36" s="298"/>
      <c r="AD36" s="298"/>
      <c r="AE36" s="297"/>
      <c r="AF36" s="297"/>
      <c r="AG36" s="297"/>
      <c r="AH36" s="297"/>
      <c r="AI36" s="296"/>
      <c r="AJ36" s="296"/>
      <c r="AK36" s="296"/>
      <c r="AL36" s="296"/>
      <c r="AM36" s="296"/>
      <c r="AO36" s="298"/>
      <c r="AP36" s="298"/>
      <c r="AQ36" s="297"/>
      <c r="AR36" s="297"/>
      <c r="AS36" s="297"/>
      <c r="AT36" s="297"/>
      <c r="AU36" s="296"/>
      <c r="AV36" s="296"/>
      <c r="AW36" s="296"/>
      <c r="AX36" s="296"/>
      <c r="AY36" s="296"/>
    </row>
    <row r="37" spans="1:51" s="295" customFormat="1" x14ac:dyDescent="0.2">
      <c r="D37" s="296" t="s">
        <v>251</v>
      </c>
      <c r="E37" s="296">
        <f>COUNT(E27,E25,E24,E22,E21,E20,E10,E9)</f>
        <v>8</v>
      </c>
      <c r="F37" s="296">
        <f>COUNT(F27,F25,F24,F22,F21,F20,F10,F9)</f>
        <v>8</v>
      </c>
      <c r="G37" s="296">
        <f t="shared" ref="G37:L37" si="20">COUNT(G27,G25,G24,G22,G21,G20,G10,G9)</f>
        <v>8</v>
      </c>
      <c r="H37" s="296">
        <f t="shared" si="20"/>
        <v>8</v>
      </c>
      <c r="I37" s="296">
        <f t="shared" si="20"/>
        <v>8</v>
      </c>
      <c r="J37" s="296">
        <f t="shared" si="20"/>
        <v>8</v>
      </c>
      <c r="K37" s="296">
        <f t="shared" si="20"/>
        <v>8</v>
      </c>
      <c r="L37" s="296">
        <f t="shared" si="20"/>
        <v>8</v>
      </c>
      <c r="M37" s="296">
        <v>8</v>
      </c>
      <c r="N37" s="296">
        <v>8</v>
      </c>
      <c r="O37" s="296">
        <v>8</v>
      </c>
      <c r="Q37" s="298">
        <f>COUNT(Q27,Q25,Q24,Q22,Q21,Q20,Q10,Q9)</f>
        <v>8</v>
      </c>
      <c r="R37" s="298">
        <f>COUNT(R27,R25,R24,R22,R21,R20,R10,R9)</f>
        <v>8</v>
      </c>
      <c r="S37" s="297">
        <f t="shared" ref="S37:X37" si="21">COUNT(S27,S25,S24,S22,S21,S20,S10,S9)</f>
        <v>8</v>
      </c>
      <c r="T37" s="297">
        <f t="shared" si="21"/>
        <v>8</v>
      </c>
      <c r="U37" s="297">
        <f t="shared" si="21"/>
        <v>8</v>
      </c>
      <c r="V37" s="297">
        <f t="shared" si="21"/>
        <v>8</v>
      </c>
      <c r="W37" s="296">
        <f t="shared" si="21"/>
        <v>8</v>
      </c>
      <c r="X37" s="296">
        <f t="shared" si="21"/>
        <v>8</v>
      </c>
      <c r="Y37" s="296">
        <v>8</v>
      </c>
      <c r="Z37" s="296">
        <v>8</v>
      </c>
      <c r="AA37" s="296">
        <v>8</v>
      </c>
      <c r="AC37" s="298">
        <f>COUNT(AC27,AC25,AC24,AC22,AC21,AC20,AC10,AC9)</f>
        <v>8</v>
      </c>
      <c r="AD37" s="298">
        <f>COUNT(AD27,AD25,AD24,AD22,AD21,AD20,AD10,AD9)</f>
        <v>8</v>
      </c>
      <c r="AE37" s="297">
        <f t="shared" ref="AE37:AJ37" si="22">COUNT(AE27,AE25,AE24,AE22,AE21,AE20,AE10,AE9)</f>
        <v>8</v>
      </c>
      <c r="AF37" s="297">
        <f t="shared" si="22"/>
        <v>8</v>
      </c>
      <c r="AG37" s="297">
        <f t="shared" si="22"/>
        <v>8</v>
      </c>
      <c r="AH37" s="297">
        <f t="shared" si="22"/>
        <v>8</v>
      </c>
      <c r="AI37" s="296">
        <f t="shared" si="22"/>
        <v>8</v>
      </c>
      <c r="AJ37" s="296">
        <f t="shared" si="22"/>
        <v>8</v>
      </c>
      <c r="AK37" s="296">
        <v>8</v>
      </c>
      <c r="AL37" s="296">
        <v>8</v>
      </c>
      <c r="AM37" s="296">
        <v>8</v>
      </c>
      <c r="AO37" s="298">
        <f>COUNT(AO27,AO25,AO24,AO22,AO21,AO20,AO10,AO9)</f>
        <v>8</v>
      </c>
      <c r="AP37" s="298">
        <f>COUNT(AP27,AP25,AP24,AP22,AP21,AP20,AP10,AP9)</f>
        <v>8</v>
      </c>
      <c r="AQ37" s="297">
        <f t="shared" ref="AQ37:AV37" si="23">COUNT(AQ27,AQ25,AQ24,AQ22,AQ21,AQ20,AQ10,AQ9)</f>
        <v>8</v>
      </c>
      <c r="AR37" s="297">
        <f t="shared" si="23"/>
        <v>8</v>
      </c>
      <c r="AS37" s="297">
        <f t="shared" si="23"/>
        <v>8</v>
      </c>
      <c r="AT37" s="297">
        <f t="shared" si="23"/>
        <v>8</v>
      </c>
      <c r="AU37" s="296">
        <f t="shared" si="23"/>
        <v>8</v>
      </c>
      <c r="AV37" s="296">
        <f t="shared" si="23"/>
        <v>8</v>
      </c>
      <c r="AW37" s="296">
        <v>8</v>
      </c>
      <c r="AX37" s="296">
        <v>8</v>
      </c>
      <c r="AY37" s="296">
        <v>8</v>
      </c>
    </row>
    <row r="38" spans="1:51" s="295" customFormat="1" x14ac:dyDescent="0.2">
      <c r="D38" s="296" t="s">
        <v>250</v>
      </c>
      <c r="E38" s="296">
        <f>MAX(E27,E25,E24,E22,E21,E20,E10,E9)</f>
        <v>12532</v>
      </c>
      <c r="F38" s="296">
        <f>MAX(F27,F25,F24,F22,F21,F20,F10,F9)</f>
        <v>12228</v>
      </c>
      <c r="G38" s="296">
        <f t="shared" ref="G38:L38" si="24">MAX(G27,G25,G24,G22,G21,G20,G10,G9)</f>
        <v>11749</v>
      </c>
      <c r="H38" s="296">
        <f t="shared" si="24"/>
        <v>11403</v>
      </c>
      <c r="I38" s="296">
        <f t="shared" si="24"/>
        <v>10391</v>
      </c>
      <c r="J38" s="296">
        <f t="shared" si="24"/>
        <v>10035</v>
      </c>
      <c r="K38" s="296">
        <f t="shared" si="24"/>
        <v>10035</v>
      </c>
      <c r="L38" s="296">
        <f t="shared" si="24"/>
        <v>8551</v>
      </c>
      <c r="M38" s="861">
        <v>7932</v>
      </c>
      <c r="N38" s="861">
        <v>7278</v>
      </c>
      <c r="O38" s="861">
        <v>6635</v>
      </c>
      <c r="Q38" s="298">
        <f>MAX(Q27,Q25,Q24,Q22,Q21,Q20,Q10,Q9)</f>
        <v>13246</v>
      </c>
      <c r="R38" s="298">
        <f>MAX(R27,R25,R24,R22,R21,R20,R10,R9)</f>
        <v>13013</v>
      </c>
      <c r="S38" s="297">
        <f t="shared" ref="S38:X38" si="25">MAX(S27,S25,S24,S22,S21,S20,S10,S9)</f>
        <v>12599</v>
      </c>
      <c r="T38" s="297">
        <f t="shared" si="25"/>
        <v>12320</v>
      </c>
      <c r="U38" s="297">
        <f t="shared" si="25"/>
        <v>11723</v>
      </c>
      <c r="V38" s="297">
        <f t="shared" si="25"/>
        <v>11723</v>
      </c>
      <c r="W38" s="296">
        <f t="shared" si="25"/>
        <v>11723</v>
      </c>
      <c r="X38" s="296">
        <f t="shared" si="25"/>
        <v>11723</v>
      </c>
      <c r="Y38" s="861">
        <v>9685</v>
      </c>
      <c r="Z38" s="861">
        <v>8934</v>
      </c>
      <c r="AA38" s="861">
        <v>8247</v>
      </c>
      <c r="AC38" s="859">
        <f>MAX(AC27,AC25,AC24,AC22,AC21,AC20,AC10,AC9)</f>
        <v>37286</v>
      </c>
      <c r="AD38" s="859">
        <f>MAX(AD27,AD25,AD24,AD22,AD21,AD20,AD10,AD9)</f>
        <v>36220</v>
      </c>
      <c r="AE38" s="863">
        <f t="shared" ref="AE38:AJ38" si="26">MAX(AE27,AE25,AE24,AE22,AE21,AE20,AE10,AE9)</f>
        <v>35079</v>
      </c>
      <c r="AF38" s="863">
        <f t="shared" si="26"/>
        <v>34124</v>
      </c>
      <c r="AG38" s="863">
        <f t="shared" si="26"/>
        <v>32115</v>
      </c>
      <c r="AH38" s="863">
        <f t="shared" si="26"/>
        <v>31378</v>
      </c>
      <c r="AI38" s="296">
        <f t="shared" si="26"/>
        <v>30330</v>
      </c>
      <c r="AJ38" s="296">
        <f t="shared" si="26"/>
        <v>29493</v>
      </c>
      <c r="AK38" s="861">
        <v>28186</v>
      </c>
      <c r="AL38" s="861">
        <v>26756</v>
      </c>
      <c r="AM38" s="861">
        <v>24797</v>
      </c>
      <c r="AO38" s="298">
        <f>MAX(AO27,AO25,AO24,AO22,AO21,AO20,AO10,AO9)</f>
        <v>33329</v>
      </c>
      <c r="AP38" s="298">
        <f>MAX(AP27,AP25,AP24,AP22,AP21,AP20,AP10,AP9)</f>
        <v>38828</v>
      </c>
      <c r="AQ38" s="297">
        <f t="shared" ref="AQ38:AV38" si="27">MAX(AQ27,AQ25,AQ24,AQ22,AQ21,AQ20,AQ10,AQ9)</f>
        <v>38611</v>
      </c>
      <c r="AR38" s="297">
        <f t="shared" si="27"/>
        <v>30370</v>
      </c>
      <c r="AS38" s="297">
        <f t="shared" si="27"/>
        <v>28308</v>
      </c>
      <c r="AT38" s="297">
        <f t="shared" si="27"/>
        <v>27634</v>
      </c>
      <c r="AU38" s="296">
        <f t="shared" si="27"/>
        <v>26743</v>
      </c>
      <c r="AV38" s="296">
        <f t="shared" si="27"/>
        <v>25550</v>
      </c>
      <c r="AW38" s="861">
        <v>24841</v>
      </c>
      <c r="AX38" s="861">
        <v>24126</v>
      </c>
      <c r="AY38" s="861">
        <v>23161</v>
      </c>
    </row>
    <row r="39" spans="1:51" s="295" customFormat="1" x14ac:dyDescent="0.2">
      <c r="D39" s="296" t="s">
        <v>249</v>
      </c>
      <c r="E39" s="296">
        <f>MIN(E27,E25,E24,E22,E21,E20,E10,E9)</f>
        <v>7277</v>
      </c>
      <c r="F39" s="296">
        <f>MIN(F27,F25,F24,F22,F21,F20,F10,F9)</f>
        <v>7079</v>
      </c>
      <c r="G39" s="296">
        <f t="shared" ref="G39:L39" si="28">MIN(G27,G25,G24,G22,G21,G20,G10,G9)</f>
        <v>6887</v>
      </c>
      <c r="H39" s="296">
        <f t="shared" si="28"/>
        <v>6664</v>
      </c>
      <c r="I39" s="296">
        <f t="shared" si="28"/>
        <v>6752</v>
      </c>
      <c r="J39" s="296">
        <f t="shared" si="28"/>
        <v>6050</v>
      </c>
      <c r="K39" s="296">
        <f t="shared" si="28"/>
        <v>5809</v>
      </c>
      <c r="L39" s="296">
        <f t="shared" si="28"/>
        <v>5506</v>
      </c>
      <c r="M39" s="861">
        <v>5101</v>
      </c>
      <c r="N39" s="861">
        <v>4834</v>
      </c>
      <c r="O39" s="861">
        <v>4571</v>
      </c>
      <c r="Q39" s="298">
        <f>MIN(Q27,Q25,Q24,Q22,Q21,Q20,Q10,Q9)</f>
        <v>8112</v>
      </c>
      <c r="R39" s="298">
        <f>MIN(R27,R25,R24,R22,R21,R20,R10,R9)</f>
        <v>7852</v>
      </c>
      <c r="S39" s="297">
        <f t="shared" ref="S39:X39" si="29">MIN(S27,S25,S24,S22,S21,S20,S10,S9)</f>
        <v>7780</v>
      </c>
      <c r="T39" s="297">
        <f t="shared" si="29"/>
        <v>7483</v>
      </c>
      <c r="U39" s="297">
        <f t="shared" si="29"/>
        <v>7244</v>
      </c>
      <c r="V39" s="297">
        <f t="shared" si="29"/>
        <v>6642</v>
      </c>
      <c r="W39" s="296">
        <f t="shared" si="29"/>
        <v>6381</v>
      </c>
      <c r="X39" s="296">
        <f t="shared" si="29"/>
        <v>6041</v>
      </c>
      <c r="Y39" s="861">
        <v>5597</v>
      </c>
      <c r="Z39" s="861">
        <v>5250</v>
      </c>
      <c r="AA39" s="861">
        <v>4990</v>
      </c>
      <c r="AC39" s="298">
        <f>MIN(AC27,AC25,AC24,AC22,AC21,AC20,AC10,AC9)</f>
        <v>22586</v>
      </c>
      <c r="AD39" s="298">
        <f>MIN(AD27,AD25,AD24,AD22,AD21,AD20,AD10,AD9)</f>
        <v>22409</v>
      </c>
      <c r="AE39" s="297">
        <f t="shared" ref="AE39:AJ39" si="30">MIN(AE27,AE25,AE24,AE22,AE21,AE20,AE10,AE9)</f>
        <v>21936</v>
      </c>
      <c r="AF39" s="297">
        <f t="shared" si="30"/>
        <v>21304</v>
      </c>
      <c r="AG39" s="297">
        <f t="shared" si="30"/>
        <v>20688</v>
      </c>
      <c r="AH39" s="297">
        <f t="shared" si="30"/>
        <v>20062</v>
      </c>
      <c r="AI39" s="296">
        <f t="shared" si="30"/>
        <v>19152</v>
      </c>
      <c r="AJ39" s="296">
        <f t="shared" si="30"/>
        <v>18291</v>
      </c>
      <c r="AK39" s="861">
        <v>17254</v>
      </c>
      <c r="AL39" s="861">
        <v>15708</v>
      </c>
      <c r="AM39" s="861">
        <v>14943</v>
      </c>
      <c r="AO39" s="298">
        <f>MIN(AO27,AO25,AO24,AO22,AO21,AO20,AO10,AO9)</f>
        <v>24187</v>
      </c>
      <c r="AP39" s="298">
        <f>MIN(AP27,AP25,AP24,AP22,AP21,AP20,AP10,AP9)</f>
        <v>23599</v>
      </c>
      <c r="AQ39" s="297">
        <f t="shared" ref="AQ39:AV39" si="31">MIN(AQ27,AQ25,AQ24,AQ22,AQ21,AQ20,AQ10,AQ9)</f>
        <v>22642</v>
      </c>
      <c r="AR39" s="297">
        <f t="shared" si="31"/>
        <v>21983</v>
      </c>
      <c r="AS39" s="297">
        <f t="shared" si="31"/>
        <v>21322</v>
      </c>
      <c r="AT39" s="297">
        <f t="shared" si="31"/>
        <v>21127</v>
      </c>
      <c r="AU39" s="296">
        <f t="shared" si="31"/>
        <v>20168</v>
      </c>
      <c r="AV39" s="296">
        <f t="shared" si="31"/>
        <v>17170</v>
      </c>
      <c r="AW39" s="861">
        <v>17732</v>
      </c>
      <c r="AX39" s="861">
        <v>16114</v>
      </c>
      <c r="AY39" s="861">
        <v>15362</v>
      </c>
    </row>
    <row r="40" spans="1:51" s="295" customFormat="1" x14ac:dyDescent="0.2">
      <c r="D40" s="296" t="s">
        <v>248</v>
      </c>
      <c r="E40" s="296">
        <f>AVERAGE(E27,E25,E24,E22,E21,E20,E10,E9)</f>
        <v>10343.75</v>
      </c>
      <c r="F40" s="296">
        <f>AVERAGE(F27,F25,F24,F22,F21,F20,F10,F9)</f>
        <v>10116.5</v>
      </c>
      <c r="G40" s="296">
        <f t="shared" ref="G40:L40" si="32">AVERAGE(G27,G25,G24,G22,G21,G20,G10,G9)</f>
        <v>9758.5</v>
      </c>
      <c r="H40" s="296">
        <f t="shared" si="32"/>
        <v>9450.875</v>
      </c>
      <c r="I40" s="296">
        <f t="shared" si="32"/>
        <v>8818</v>
      </c>
      <c r="J40" s="296">
        <f t="shared" si="32"/>
        <v>8344.625</v>
      </c>
      <c r="K40" s="296">
        <f t="shared" si="32"/>
        <v>7964.875</v>
      </c>
      <c r="L40" s="296">
        <f t="shared" si="32"/>
        <v>7105.125</v>
      </c>
      <c r="M40" s="861">
        <v>6415</v>
      </c>
      <c r="N40" s="861">
        <v>5816</v>
      </c>
      <c r="O40" s="861">
        <v>5421</v>
      </c>
      <c r="Q40" s="298">
        <f>AVERAGE(Q27,Q25,Q24,Q22,Q21,Q20,Q10,Q9)</f>
        <v>10763.625</v>
      </c>
      <c r="R40" s="298">
        <f>AVERAGE(R27,R25,R24,R22,R21,R20,R10,R9)</f>
        <v>10536.625</v>
      </c>
      <c r="S40" s="297">
        <f t="shared" ref="S40:X40" si="33">AVERAGE(S27,S25,S24,S22,S21,S20,S10,S9)</f>
        <v>10670.327499999999</v>
      </c>
      <c r="T40" s="297">
        <f t="shared" si="33"/>
        <v>10110.5</v>
      </c>
      <c r="U40" s="297">
        <f t="shared" si="33"/>
        <v>9525.75</v>
      </c>
      <c r="V40" s="297">
        <f t="shared" si="33"/>
        <v>9252.875</v>
      </c>
      <c r="W40" s="296">
        <f t="shared" si="33"/>
        <v>8824</v>
      </c>
      <c r="X40" s="296">
        <f t="shared" si="33"/>
        <v>8368.5</v>
      </c>
      <c r="Y40" s="861">
        <v>7310</v>
      </c>
      <c r="Z40" s="861">
        <v>6709</v>
      </c>
      <c r="AA40" s="861">
        <v>6319</v>
      </c>
      <c r="AC40" s="298">
        <f>AVERAGE(AC27,AC25,AC24,AC22,AC21,AC20,AC10,AC9)</f>
        <v>30049.875</v>
      </c>
      <c r="AD40" s="298">
        <f>AVERAGE(AD27,AD25,AD24,AD22,AD21,AD20,AD10,AD9)</f>
        <v>29284</v>
      </c>
      <c r="AE40" s="297">
        <f t="shared" ref="AE40:AJ40" si="34">AVERAGE(AE27,AE25,AE24,AE22,AE21,AE20,AE10,AE9)</f>
        <v>28422.875</v>
      </c>
      <c r="AF40" s="297">
        <f t="shared" si="34"/>
        <v>27273.125</v>
      </c>
      <c r="AG40" s="297">
        <f t="shared" si="34"/>
        <v>24883.125</v>
      </c>
      <c r="AH40" s="297">
        <f t="shared" si="34"/>
        <v>24021</v>
      </c>
      <c r="AI40" s="296">
        <f t="shared" si="34"/>
        <v>23059.5</v>
      </c>
      <c r="AJ40" s="296">
        <f t="shared" si="34"/>
        <v>21826.25</v>
      </c>
      <c r="AK40" s="861">
        <v>20603</v>
      </c>
      <c r="AL40" s="861">
        <v>19188</v>
      </c>
      <c r="AM40" s="861">
        <v>17721</v>
      </c>
      <c r="AO40" s="298">
        <f>AVERAGE(AO27,AO25,AO24,AO22,AO21,AO20,AO10,AO9)</f>
        <v>28910.625</v>
      </c>
      <c r="AP40" s="298">
        <f>AVERAGE(AP27,AP25,AP24,AP22,AP21,AP20,AP10,AP9)</f>
        <v>29115.5</v>
      </c>
      <c r="AQ40" s="297">
        <f t="shared" ref="AQ40:AV40" si="35">AVERAGE(AQ27,AQ25,AQ24,AQ22,AQ21,AQ20,AQ10,AQ9)</f>
        <v>28764.525000000001</v>
      </c>
      <c r="AR40" s="297">
        <f t="shared" si="35"/>
        <v>26796.5</v>
      </c>
      <c r="AS40" s="297">
        <f t="shared" si="35"/>
        <v>24706.875</v>
      </c>
      <c r="AT40" s="297">
        <f t="shared" si="35"/>
        <v>23734</v>
      </c>
      <c r="AU40" s="296">
        <f t="shared" si="35"/>
        <v>22773.25</v>
      </c>
      <c r="AV40" s="296">
        <f t="shared" si="35"/>
        <v>21112.125</v>
      </c>
      <c r="AW40" s="861">
        <v>20323</v>
      </c>
      <c r="AX40" s="861">
        <v>18803</v>
      </c>
      <c r="AY40" s="861">
        <v>17766</v>
      </c>
    </row>
    <row r="41" spans="1:51" s="295" customFormat="1" x14ac:dyDescent="0.2">
      <c r="D41" s="296" t="s">
        <v>601</v>
      </c>
      <c r="E41" s="296">
        <f>RANK(E27,(E9,E10,E20,E21,E22,E24,E25,E27))</f>
        <v>6</v>
      </c>
      <c r="F41" s="296">
        <f>RANK(F27,(F9,F10,F20,F21,F22,F24,F25,F27))</f>
        <v>6</v>
      </c>
      <c r="G41" s="296">
        <f>RANK(G27,(G9,G10,G20,G21,G22,G24,G25,G27))</f>
        <v>6</v>
      </c>
      <c r="H41" s="296">
        <f>RANK(H27,(H9,H10,H20,H21,H22,H24,H25,H27))</f>
        <v>6</v>
      </c>
      <c r="I41" s="296">
        <f>RANK(I27,(I9,I10,I20,I21,I22,I24,I25,I27))</f>
        <v>6</v>
      </c>
      <c r="J41" s="296">
        <f>RANK(J27,(J9,J10,J20,J21,J22,J24,J25,J27))</f>
        <v>6</v>
      </c>
      <c r="K41" s="296">
        <v>6</v>
      </c>
      <c r="L41" s="296">
        <v>6</v>
      </c>
      <c r="M41" s="296">
        <v>7</v>
      </c>
      <c r="N41" s="296">
        <v>7</v>
      </c>
      <c r="O41" s="296">
        <v>6</v>
      </c>
      <c r="Q41" s="296">
        <f>RANK(Q27,(Q9,Q10,Q20,Q21,Q22,Q24,Q25,Q27))</f>
        <v>8</v>
      </c>
      <c r="R41" s="296">
        <f>RANK(R27,(R9,R10,R20,R21,R22,R24,R25,R27))</f>
        <v>8</v>
      </c>
      <c r="S41" s="296">
        <f>RANK(S27,(S9,S10,S20,S21,S22,S24,S25,S27))</f>
        <v>6</v>
      </c>
      <c r="T41" s="296">
        <f>RANK(T27,(T9,T10,T20,T21,T22,T24,T25,T27))</f>
        <v>6</v>
      </c>
      <c r="U41" s="296">
        <f>RANK(U27,(U9,U10,U20,U21,U22,U24,U25,U27))</f>
        <v>7</v>
      </c>
      <c r="V41" s="296">
        <f>RANK(V27,(V9,V10,V20,V21,V22,V24,V25,V27))</f>
        <v>7</v>
      </c>
      <c r="W41" s="296">
        <v>7</v>
      </c>
      <c r="X41" s="296">
        <v>7</v>
      </c>
      <c r="Y41" s="296">
        <v>7</v>
      </c>
      <c r="Z41" s="296">
        <v>8</v>
      </c>
      <c r="AA41" s="296">
        <v>8</v>
      </c>
      <c r="AC41" s="296">
        <f>RANK(AC27,(AC9,AC10,AC20,AC21,AC22,AC24,AC25,AC27))</f>
        <v>5</v>
      </c>
      <c r="AD41" s="296">
        <f>RANK(AD27,(AD9,AD10,AD20,AD21,AD22,AD24,AD25,AD27))</f>
        <v>5</v>
      </c>
      <c r="AE41" s="296">
        <f>RANK(AE27,(AE9,AE10,AE20,AE21,AE22,AE24,AE25,AE27))</f>
        <v>5</v>
      </c>
      <c r="AF41" s="296">
        <f>RANK(AF27,(AF9,AF10,AF20,AF21,AF22,AF24,AF25,AF27))</f>
        <v>5</v>
      </c>
      <c r="AG41" s="296">
        <f>RANK(AG27,(AG9,AG10,AG20,AG21,AG22,AG24,AG25,AG27))</f>
        <v>5</v>
      </c>
      <c r="AH41" s="296">
        <f>RANK(AH27,(AH9,AH10,AH20,AH21,AH22,AH24,AH25,AH27))</f>
        <v>6</v>
      </c>
      <c r="AI41" s="296">
        <v>5</v>
      </c>
      <c r="AJ41" s="296">
        <v>6</v>
      </c>
      <c r="AK41" s="296">
        <v>6</v>
      </c>
      <c r="AL41" s="296">
        <v>7</v>
      </c>
      <c r="AM41" s="296">
        <v>7</v>
      </c>
      <c r="AO41" s="296">
        <f>RANK(AO27,(AO9,AO10,AO20,AO21,AO22,AO24,AO25,AO27))</f>
        <v>7</v>
      </c>
      <c r="AP41" s="296">
        <f>RANK(AP27,(AP9,AP10,AP20,AP21,AP22,AP24,AP25,AP27))</f>
        <v>7</v>
      </c>
      <c r="AQ41" s="296">
        <f>RANK(AQ27,(AQ9,AQ10,AQ20,AQ21,AQ22,AQ24,AQ25,AQ27))</f>
        <v>5</v>
      </c>
      <c r="AR41" s="296">
        <f>RANK(AR27,(AR9,AR10,AR20,AR21,AR22,AR24,AR25,AR27))</f>
        <v>5</v>
      </c>
      <c r="AS41" s="296">
        <f>RANK(AS27,(AS9,AS10,AS20,AS21,AS22,AS24,AS25,AS27))</f>
        <v>5</v>
      </c>
      <c r="AT41" s="296">
        <f>RANK(AT27,(AT9,AT10,AT20,AT21,AT22,AT24,AT25,AT27))</f>
        <v>5</v>
      </c>
      <c r="AU41" s="296">
        <v>5</v>
      </c>
      <c r="AV41" s="296">
        <v>8</v>
      </c>
      <c r="AW41" s="296">
        <v>7</v>
      </c>
      <c r="AX41" s="296">
        <v>7</v>
      </c>
      <c r="AY41" s="296">
        <v>7</v>
      </c>
    </row>
    <row r="44" spans="1:51" x14ac:dyDescent="0.2">
      <c r="E44" s="1057" t="s">
        <v>536</v>
      </c>
      <c r="F44" s="1057"/>
      <c r="G44" s="319"/>
      <c r="H44" s="319"/>
      <c r="I44" s="319"/>
      <c r="J44" s="319"/>
      <c r="K44" s="319"/>
      <c r="L44" s="319"/>
      <c r="M44" s="319"/>
      <c r="N44" s="319"/>
      <c r="O44" s="319"/>
      <c r="Q44" s="1057" t="s">
        <v>571</v>
      </c>
      <c r="R44" s="1057"/>
      <c r="S44" s="319"/>
      <c r="T44" s="319"/>
      <c r="U44" s="319"/>
      <c r="V44" s="319"/>
      <c r="W44" s="319"/>
      <c r="X44" s="319"/>
      <c r="Y44" s="319"/>
      <c r="Z44" s="319"/>
      <c r="AA44" s="319"/>
      <c r="AC44" s="1057" t="s">
        <v>535</v>
      </c>
      <c r="AD44" s="1057"/>
      <c r="AE44" s="319"/>
      <c r="AF44" s="319"/>
      <c r="AG44" s="319"/>
      <c r="AH44" s="319"/>
      <c r="AI44" s="319"/>
      <c r="AJ44" s="319"/>
      <c r="AK44" s="319"/>
      <c r="AL44" s="319"/>
      <c r="AM44" s="319"/>
      <c r="AO44" s="1057" t="s">
        <v>570</v>
      </c>
      <c r="AP44" s="1057"/>
      <c r="AQ44" s="1057"/>
      <c r="AR44" s="1057"/>
      <c r="AS44" s="1057"/>
      <c r="AT44" s="1057"/>
      <c r="AU44" s="1057"/>
      <c r="AV44" s="1057"/>
      <c r="AW44" s="1057"/>
      <c r="AX44" s="1057"/>
      <c r="AY44" s="1057"/>
    </row>
    <row r="45" spans="1:51" x14ac:dyDescent="0.2">
      <c r="A45" s="318"/>
      <c r="B45" s="318"/>
      <c r="C45" s="318"/>
      <c r="D45" s="318" t="s">
        <v>600</v>
      </c>
      <c r="E45" s="315" t="s">
        <v>533</v>
      </c>
      <c r="F45" s="315" t="s">
        <v>236</v>
      </c>
      <c r="G45" s="315" t="s">
        <v>229</v>
      </c>
      <c r="H45" s="315" t="s">
        <v>224</v>
      </c>
      <c r="I45" s="315" t="s">
        <v>154</v>
      </c>
      <c r="J45" s="315" t="s">
        <v>146</v>
      </c>
      <c r="K45" s="315" t="s">
        <v>104</v>
      </c>
      <c r="L45" s="315" t="s">
        <v>103</v>
      </c>
      <c r="M45" s="315" t="s">
        <v>102</v>
      </c>
      <c r="N45" s="315" t="s">
        <v>101</v>
      </c>
      <c r="O45" s="315" t="s">
        <v>100</v>
      </c>
      <c r="Q45" s="315" t="s">
        <v>533</v>
      </c>
      <c r="R45" s="315" t="s">
        <v>236</v>
      </c>
      <c r="S45" s="315" t="s">
        <v>229</v>
      </c>
      <c r="T45" s="315" t="s">
        <v>224</v>
      </c>
      <c r="U45" s="315" t="s">
        <v>154</v>
      </c>
      <c r="V45" s="315" t="s">
        <v>146</v>
      </c>
      <c r="W45" s="315" t="s">
        <v>104</v>
      </c>
      <c r="X45" s="315" t="s">
        <v>103</v>
      </c>
      <c r="Y45" s="315" t="s">
        <v>102</v>
      </c>
      <c r="Z45" s="315" t="s">
        <v>101</v>
      </c>
      <c r="AA45" s="315" t="s">
        <v>100</v>
      </c>
      <c r="AB45" s="316"/>
      <c r="AC45" s="315" t="s">
        <v>533</v>
      </c>
      <c r="AD45" s="315" t="s">
        <v>236</v>
      </c>
      <c r="AE45" s="315" t="s">
        <v>229</v>
      </c>
      <c r="AF45" s="315" t="s">
        <v>224</v>
      </c>
      <c r="AG45" s="315" t="s">
        <v>154</v>
      </c>
      <c r="AH45" s="315" t="s">
        <v>146</v>
      </c>
      <c r="AI45" s="315" t="s">
        <v>104</v>
      </c>
      <c r="AJ45" s="315" t="s">
        <v>103</v>
      </c>
      <c r="AK45" s="315" t="s">
        <v>102</v>
      </c>
      <c r="AL45" s="315" t="s">
        <v>101</v>
      </c>
      <c r="AM45" s="315" t="s">
        <v>100</v>
      </c>
      <c r="AN45" s="316"/>
      <c r="AO45" s="315" t="s">
        <v>533</v>
      </c>
      <c r="AP45" s="315" t="s">
        <v>236</v>
      </c>
      <c r="AQ45" s="315" t="s">
        <v>229</v>
      </c>
      <c r="AR45" s="315" t="s">
        <v>224</v>
      </c>
      <c r="AS45" s="315" t="s">
        <v>154</v>
      </c>
      <c r="AT45" s="315" t="s">
        <v>146</v>
      </c>
      <c r="AU45" s="315" t="s">
        <v>104</v>
      </c>
      <c r="AV45" s="315" t="s">
        <v>103</v>
      </c>
      <c r="AW45" s="315" t="s">
        <v>102</v>
      </c>
      <c r="AX45" s="315" t="s">
        <v>101</v>
      </c>
      <c r="AY45" s="315" t="s">
        <v>100</v>
      </c>
    </row>
    <row r="46" spans="1:51" x14ac:dyDescent="0.2">
      <c r="A46" s="294" t="s">
        <v>263</v>
      </c>
      <c r="C46" s="294" t="s">
        <v>532</v>
      </c>
      <c r="D46" s="294" t="s">
        <v>599</v>
      </c>
      <c r="E46" s="294">
        <v>7848</v>
      </c>
      <c r="F46" s="294">
        <v>7518</v>
      </c>
      <c r="G46" s="294">
        <v>7184</v>
      </c>
      <c r="H46" s="294">
        <v>6804</v>
      </c>
      <c r="I46" s="294">
        <v>6002</v>
      </c>
      <c r="J46" s="294">
        <v>5898</v>
      </c>
      <c r="K46" s="294">
        <v>5568</v>
      </c>
      <c r="L46" s="294">
        <v>5358</v>
      </c>
      <c r="M46" s="294">
        <v>5138</v>
      </c>
      <c r="N46" s="294">
        <v>4918</v>
      </c>
      <c r="O46" s="294">
        <v>4736</v>
      </c>
      <c r="P46" s="294" t="str">
        <f>IF(B46="RM",#REF!,"")</f>
        <v/>
      </c>
      <c r="Q46" s="322">
        <v>13428</v>
      </c>
      <c r="R46" s="322">
        <v>12822</v>
      </c>
      <c r="S46" s="322">
        <v>12236</v>
      </c>
      <c r="T46" s="322">
        <v>11634</v>
      </c>
      <c r="U46" s="324">
        <v>10448</v>
      </c>
      <c r="V46" s="324">
        <v>10242</v>
      </c>
      <c r="W46" s="328">
        <v>9858</v>
      </c>
      <c r="X46" s="324">
        <v>9138</v>
      </c>
      <c r="Y46" s="324">
        <v>8474</v>
      </c>
      <c r="Z46" s="324">
        <v>8104</v>
      </c>
      <c r="AA46" s="324">
        <v>7554</v>
      </c>
      <c r="AB46" s="324"/>
      <c r="AC46" s="299">
        <v>24018</v>
      </c>
      <c r="AD46" s="299">
        <v>22908</v>
      </c>
      <c r="AE46" s="299">
        <v>21854</v>
      </c>
      <c r="AF46" s="299">
        <v>20604</v>
      </c>
      <c r="AG46" s="324">
        <v>18962</v>
      </c>
      <c r="AH46" s="324">
        <v>18348</v>
      </c>
      <c r="AI46" s="324">
        <v>17208</v>
      </c>
      <c r="AJ46" s="324">
        <v>15948</v>
      </c>
      <c r="AK46" s="324">
        <v>15038</v>
      </c>
      <c r="AL46" s="324">
        <v>14338</v>
      </c>
      <c r="AM46" s="324">
        <v>13706</v>
      </c>
      <c r="AN46" s="324"/>
      <c r="AO46" s="322">
        <v>26364</v>
      </c>
      <c r="AP46" s="322">
        <v>25134</v>
      </c>
      <c r="AQ46" s="322">
        <v>23348</v>
      </c>
      <c r="AR46" s="322">
        <v>22218</v>
      </c>
      <c r="AS46" s="294">
        <v>20240</v>
      </c>
      <c r="AT46" s="294">
        <v>19842</v>
      </c>
      <c r="AU46" s="313">
        <v>19170</v>
      </c>
      <c r="AV46" s="294">
        <v>17610</v>
      </c>
      <c r="AW46" s="294">
        <v>16394</v>
      </c>
      <c r="AX46" s="294">
        <v>15640</v>
      </c>
      <c r="AY46" s="294">
        <v>14720</v>
      </c>
    </row>
    <row r="47" spans="1:51" x14ac:dyDescent="0.2">
      <c r="A47" s="294" t="s">
        <v>263</v>
      </c>
      <c r="B47" s="294" t="s">
        <v>262</v>
      </c>
      <c r="C47" s="294" t="s">
        <v>513</v>
      </c>
      <c r="D47" s="294" t="s">
        <v>598</v>
      </c>
      <c r="E47" s="294">
        <v>11564</v>
      </c>
      <c r="F47" s="294">
        <v>11059</v>
      </c>
      <c r="G47" s="294">
        <v>10764</v>
      </c>
      <c r="H47" s="294">
        <v>10358</v>
      </c>
      <c r="I47" s="294">
        <v>9738</v>
      </c>
      <c r="J47" s="294">
        <v>9271</v>
      </c>
      <c r="K47" s="294">
        <v>8824</v>
      </c>
      <c r="L47" s="294">
        <v>7667</v>
      </c>
      <c r="M47" s="294">
        <v>6627</v>
      </c>
      <c r="N47" s="294">
        <v>5446</v>
      </c>
      <c r="O47" s="294">
        <v>4841</v>
      </c>
      <c r="Q47" s="322">
        <v>10970</v>
      </c>
      <c r="R47" s="322">
        <v>10261</v>
      </c>
      <c r="S47" s="322">
        <v>9989</v>
      </c>
      <c r="T47" s="322">
        <v>9606</v>
      </c>
      <c r="U47" s="324">
        <v>8768</v>
      </c>
      <c r="V47" s="324">
        <v>8378</v>
      </c>
      <c r="W47" s="324">
        <v>8005</v>
      </c>
      <c r="X47" s="324">
        <v>7429</v>
      </c>
      <c r="Y47" s="324">
        <v>6541</v>
      </c>
      <c r="Z47" s="324">
        <v>5611</v>
      </c>
      <c r="AA47" s="324">
        <v>5210</v>
      </c>
      <c r="AB47" s="324"/>
      <c r="AC47" s="299">
        <v>25828</v>
      </c>
      <c r="AD47" s="299">
        <v>24841</v>
      </c>
      <c r="AE47" s="299">
        <v>24144</v>
      </c>
      <c r="AF47" s="299">
        <v>23348</v>
      </c>
      <c r="AG47" s="324">
        <v>22093</v>
      </c>
      <c r="AH47" s="324">
        <v>21626</v>
      </c>
      <c r="AI47" s="324">
        <v>21179</v>
      </c>
      <c r="AJ47" s="324">
        <v>20067</v>
      </c>
      <c r="AK47" s="324">
        <v>17854</v>
      </c>
      <c r="AL47" s="324">
        <v>16544</v>
      </c>
      <c r="AM47" s="324">
        <v>14495</v>
      </c>
      <c r="AN47" s="324"/>
      <c r="AO47" s="322">
        <v>24056</v>
      </c>
      <c r="AP47" s="322">
        <v>32698</v>
      </c>
      <c r="AQ47" s="322">
        <v>21976</v>
      </c>
      <c r="AR47" s="322">
        <v>21244</v>
      </c>
      <c r="AS47" s="294">
        <v>19862</v>
      </c>
      <c r="AT47" s="294">
        <v>19472</v>
      </c>
      <c r="AU47" s="294">
        <v>18908</v>
      </c>
      <c r="AV47" s="294">
        <v>18203</v>
      </c>
      <c r="AW47" s="294">
        <v>17056</v>
      </c>
      <c r="AX47" s="294">
        <v>15971</v>
      </c>
      <c r="AY47" s="294">
        <v>14892</v>
      </c>
    </row>
    <row r="48" spans="1:51" x14ac:dyDescent="0.2">
      <c r="A48" s="294" t="s">
        <v>263</v>
      </c>
      <c r="C48" s="294" t="s">
        <v>401</v>
      </c>
      <c r="D48" s="294" t="s">
        <v>597</v>
      </c>
      <c r="E48" s="294">
        <v>7488</v>
      </c>
      <c r="F48" s="294">
        <v>7460</v>
      </c>
      <c r="G48" s="294">
        <v>7084</v>
      </c>
      <c r="H48" s="294">
        <v>6976</v>
      </c>
      <c r="I48" s="294">
        <v>6766</v>
      </c>
      <c r="J48" s="294">
        <v>6578</v>
      </c>
      <c r="K48" s="294">
        <v>6578</v>
      </c>
      <c r="L48" s="294">
        <v>5206</v>
      </c>
      <c r="M48" s="294">
        <v>4947</v>
      </c>
      <c r="N48" s="294">
        <v>3754</v>
      </c>
      <c r="O48" s="294">
        <v>3428</v>
      </c>
      <c r="Q48" s="322">
        <v>8922</v>
      </c>
      <c r="R48" s="322">
        <v>8894</v>
      </c>
      <c r="S48" s="322">
        <v>8350</v>
      </c>
      <c r="T48" s="322">
        <v>8242</v>
      </c>
      <c r="U48" s="324">
        <v>8032</v>
      </c>
      <c r="V48" s="324">
        <v>7844</v>
      </c>
      <c r="W48" s="328">
        <v>7844</v>
      </c>
      <c r="X48" s="324">
        <v>6190</v>
      </c>
      <c r="Y48" s="324">
        <v>5883</v>
      </c>
      <c r="Z48" s="324">
        <v>4462</v>
      </c>
      <c r="AA48" s="324">
        <v>4070</v>
      </c>
      <c r="AB48" s="324"/>
      <c r="AC48" s="299">
        <v>19368</v>
      </c>
      <c r="AD48" s="299">
        <v>19340</v>
      </c>
      <c r="AE48" s="299">
        <v>18244</v>
      </c>
      <c r="AF48" s="299">
        <v>18136</v>
      </c>
      <c r="AG48" s="324">
        <v>17926</v>
      </c>
      <c r="AH48" s="324">
        <v>17738</v>
      </c>
      <c r="AI48" s="324">
        <v>17738</v>
      </c>
      <c r="AJ48" s="324">
        <v>16366</v>
      </c>
      <c r="AK48" s="324">
        <v>16107</v>
      </c>
      <c r="AL48" s="324">
        <v>13924</v>
      </c>
      <c r="AM48" s="324">
        <v>13598</v>
      </c>
      <c r="AN48" s="324"/>
      <c r="AO48" s="322">
        <v>18426</v>
      </c>
      <c r="AP48" s="322">
        <v>18398</v>
      </c>
      <c r="AQ48" s="322">
        <v>17278</v>
      </c>
      <c r="AR48" s="322">
        <v>17170</v>
      </c>
      <c r="AS48" s="294">
        <v>19192</v>
      </c>
      <c r="AT48" s="294">
        <v>19004</v>
      </c>
      <c r="AU48" s="294">
        <v>16772</v>
      </c>
      <c r="AV48" s="294">
        <v>15118</v>
      </c>
      <c r="AW48" s="294">
        <v>17043</v>
      </c>
      <c r="AX48" s="294">
        <v>14632</v>
      </c>
      <c r="AY48" s="294">
        <v>14240</v>
      </c>
    </row>
    <row r="49" spans="1:52" x14ac:dyDescent="0.2">
      <c r="A49" s="294" t="s">
        <v>263</v>
      </c>
      <c r="B49" s="294" t="s">
        <v>262</v>
      </c>
      <c r="C49" s="294" t="s">
        <v>385</v>
      </c>
      <c r="D49" s="294" t="s">
        <v>596</v>
      </c>
      <c r="E49" s="294">
        <v>18964</v>
      </c>
      <c r="F49" s="294">
        <v>18386</v>
      </c>
      <c r="G49" s="294">
        <v>17868</v>
      </c>
      <c r="H49" s="294">
        <v>17353</v>
      </c>
      <c r="I49" s="294">
        <v>16485</v>
      </c>
      <c r="J49" s="294">
        <v>15654</v>
      </c>
      <c r="K49" s="294">
        <v>14454</v>
      </c>
      <c r="L49" s="294">
        <v>13404</v>
      </c>
      <c r="M49" s="294">
        <v>12244</v>
      </c>
      <c r="N49" s="294">
        <v>11239</v>
      </c>
      <c r="O49" s="294">
        <v>10050</v>
      </c>
      <c r="Q49" s="322">
        <v>18946</v>
      </c>
      <c r="R49" s="322">
        <v>18386</v>
      </c>
      <c r="S49" s="322">
        <v>17762</v>
      </c>
      <c r="T49" s="322">
        <v>17353</v>
      </c>
      <c r="U49" s="324">
        <v>16485</v>
      </c>
      <c r="V49" s="324">
        <v>15654</v>
      </c>
      <c r="W49" s="324">
        <v>14454</v>
      </c>
      <c r="X49" s="324">
        <v>13404</v>
      </c>
      <c r="Y49" s="324">
        <v>12238</v>
      </c>
      <c r="Z49" s="324">
        <v>11239</v>
      </c>
      <c r="AA49" s="324">
        <v>10250</v>
      </c>
      <c r="AB49" s="324"/>
      <c r="AC49" s="299">
        <v>38584</v>
      </c>
      <c r="AD49" s="299">
        <v>37436</v>
      </c>
      <c r="AE49" s="299">
        <v>36172</v>
      </c>
      <c r="AF49" s="299">
        <v>34828</v>
      </c>
      <c r="AG49" s="324">
        <v>32415</v>
      </c>
      <c r="AH49" s="324">
        <v>30684</v>
      </c>
      <c r="AI49" s="324">
        <v>29139</v>
      </c>
      <c r="AJ49" s="324">
        <v>27834</v>
      </c>
      <c r="AK49" s="324">
        <v>26404</v>
      </c>
      <c r="AL49" s="324">
        <v>25249</v>
      </c>
      <c r="AM49" s="324">
        <v>23036</v>
      </c>
      <c r="AN49" s="324"/>
      <c r="AO49" s="322">
        <v>38584</v>
      </c>
      <c r="AP49" s="322">
        <v>37436</v>
      </c>
      <c r="AQ49" s="322">
        <v>36172</v>
      </c>
      <c r="AR49" s="322">
        <v>34828</v>
      </c>
      <c r="AS49" s="294">
        <v>32415</v>
      </c>
      <c r="AT49" s="294">
        <v>30684</v>
      </c>
      <c r="AU49" s="294">
        <v>29139</v>
      </c>
      <c r="AV49" s="294">
        <v>27834</v>
      </c>
      <c r="AW49" s="294">
        <v>26404</v>
      </c>
      <c r="AX49" s="294">
        <v>25243</v>
      </c>
      <c r="AY49" s="294">
        <v>23030</v>
      </c>
    </row>
    <row r="50" spans="1:52" x14ac:dyDescent="0.2">
      <c r="A50" s="294" t="s">
        <v>263</v>
      </c>
      <c r="B50" s="294" t="s">
        <v>262</v>
      </c>
      <c r="C50" s="294" t="s">
        <v>373</v>
      </c>
      <c r="D50" s="294" t="s">
        <v>595</v>
      </c>
      <c r="E50" s="294">
        <v>7864</v>
      </c>
      <c r="F50" s="294">
        <v>7488</v>
      </c>
      <c r="G50" s="294">
        <v>7232</v>
      </c>
      <c r="H50" s="294">
        <v>7020</v>
      </c>
      <c r="I50" s="294">
        <v>6212</v>
      </c>
      <c r="J50" s="294">
        <v>6212</v>
      </c>
      <c r="K50" s="294">
        <v>5856</v>
      </c>
      <c r="L50" s="294">
        <v>5402</v>
      </c>
      <c r="M50" s="294">
        <v>4932</v>
      </c>
      <c r="N50" s="294">
        <v>4632</v>
      </c>
      <c r="O50" s="294">
        <v>4410</v>
      </c>
      <c r="Q50" s="322">
        <v>9352</v>
      </c>
      <c r="R50" s="322">
        <v>8864</v>
      </c>
      <c r="S50" s="322">
        <v>8530</v>
      </c>
      <c r="T50" s="322">
        <v>8222</v>
      </c>
      <c r="U50" s="324">
        <v>7162</v>
      </c>
      <c r="V50" s="324">
        <v>7162</v>
      </c>
      <c r="W50" s="324">
        <v>6682</v>
      </c>
      <c r="X50" s="324">
        <v>6120</v>
      </c>
      <c r="Y50" s="324">
        <v>5556</v>
      </c>
      <c r="Z50" s="324">
        <v>5212</v>
      </c>
      <c r="AA50" s="324">
        <v>4950</v>
      </c>
      <c r="AB50" s="324"/>
      <c r="AC50" s="299">
        <v>25500</v>
      </c>
      <c r="AD50" s="299">
        <v>23812</v>
      </c>
      <c r="AE50" s="299">
        <v>22040</v>
      </c>
      <c r="AF50" s="299">
        <v>21024</v>
      </c>
      <c r="AG50" s="324">
        <v>19000</v>
      </c>
      <c r="AH50" s="324">
        <v>19000</v>
      </c>
      <c r="AI50" s="324">
        <v>18376</v>
      </c>
      <c r="AJ50" s="324">
        <v>16994</v>
      </c>
      <c r="AK50" s="324">
        <v>15012</v>
      </c>
      <c r="AL50" s="324">
        <v>14712</v>
      </c>
      <c r="AM50" s="324">
        <v>14490</v>
      </c>
      <c r="AN50" s="324"/>
      <c r="AO50" s="322">
        <v>26988</v>
      </c>
      <c r="AP50" s="322">
        <v>25188</v>
      </c>
      <c r="AQ50" s="322">
        <v>23338</v>
      </c>
      <c r="AR50" s="322">
        <v>22226</v>
      </c>
      <c r="AS50" s="294">
        <v>19950</v>
      </c>
      <c r="AT50" s="294">
        <v>19950</v>
      </c>
      <c r="AU50" s="294">
        <v>19202</v>
      </c>
      <c r="AV50" s="294">
        <v>17712</v>
      </c>
      <c r="AW50" s="294">
        <v>15636</v>
      </c>
      <c r="AX50" s="294">
        <v>15292</v>
      </c>
      <c r="AY50" s="294">
        <v>15030</v>
      </c>
    </row>
    <row r="51" spans="1:52" x14ac:dyDescent="0.2">
      <c r="A51" s="294" t="s">
        <v>263</v>
      </c>
      <c r="B51" s="294" t="s">
        <v>262</v>
      </c>
      <c r="C51" s="294" t="s">
        <v>363</v>
      </c>
      <c r="D51" s="294" t="s">
        <v>594</v>
      </c>
      <c r="E51" s="294">
        <v>7244</v>
      </c>
      <c r="F51" s="294">
        <v>7063</v>
      </c>
      <c r="G51" s="294">
        <v>6215</v>
      </c>
      <c r="H51" s="294">
        <v>6157</v>
      </c>
      <c r="I51" s="294">
        <v>6045</v>
      </c>
      <c r="J51" s="294">
        <v>5973</v>
      </c>
      <c r="K51" s="294">
        <v>5722</v>
      </c>
      <c r="L51" s="294">
        <v>5476</v>
      </c>
      <c r="M51" s="294">
        <v>5334</v>
      </c>
      <c r="N51" s="294">
        <v>5180</v>
      </c>
      <c r="O51" s="294">
        <v>5141</v>
      </c>
      <c r="Q51" s="322">
        <v>8185</v>
      </c>
      <c r="R51" s="322">
        <v>7870</v>
      </c>
      <c r="S51" s="322">
        <v>7019</v>
      </c>
      <c r="T51" s="322">
        <v>6961</v>
      </c>
      <c r="U51" s="324">
        <v>6849</v>
      </c>
      <c r="V51" s="324">
        <v>6777</v>
      </c>
      <c r="W51" s="324">
        <v>6489</v>
      </c>
      <c r="X51" s="324">
        <v>6206</v>
      </c>
      <c r="Y51" s="324">
        <v>5909</v>
      </c>
      <c r="Z51" s="324">
        <v>5866</v>
      </c>
      <c r="AA51" s="324">
        <v>5828</v>
      </c>
      <c r="AB51" s="324"/>
      <c r="AC51" s="299">
        <v>24959</v>
      </c>
      <c r="AD51" s="299">
        <v>24943</v>
      </c>
      <c r="AE51" s="299">
        <v>23741</v>
      </c>
      <c r="AF51" s="299">
        <v>23047</v>
      </c>
      <c r="AG51" s="324">
        <v>21719</v>
      </c>
      <c r="AH51" s="324">
        <v>21065</v>
      </c>
      <c r="AI51" s="324">
        <v>20099</v>
      </c>
      <c r="AJ51" s="324">
        <v>19172</v>
      </c>
      <c r="AK51" s="324">
        <v>17767</v>
      </c>
      <c r="AL51" s="324">
        <v>16456</v>
      </c>
      <c r="AM51" s="324">
        <v>15502</v>
      </c>
      <c r="AN51" s="324"/>
      <c r="AO51" s="322">
        <v>27443</v>
      </c>
      <c r="AP51" s="322">
        <v>27428</v>
      </c>
      <c r="AQ51" s="322">
        <v>26418</v>
      </c>
      <c r="AR51" s="322">
        <v>25647</v>
      </c>
      <c r="AS51" s="294">
        <v>24168</v>
      </c>
      <c r="AT51" s="294">
        <v>23444</v>
      </c>
      <c r="AU51" s="294">
        <v>22365</v>
      </c>
      <c r="AV51" s="294">
        <v>21329</v>
      </c>
      <c r="AW51" s="294">
        <v>19755</v>
      </c>
      <c r="AX51" s="294">
        <v>18288</v>
      </c>
      <c r="AY51" s="294">
        <v>17225</v>
      </c>
    </row>
    <row r="52" spans="1:52" x14ac:dyDescent="0.2">
      <c r="A52" s="294" t="s">
        <v>263</v>
      </c>
      <c r="C52" s="294" t="s">
        <v>357</v>
      </c>
      <c r="D52" s="294" t="s">
        <v>593</v>
      </c>
      <c r="E52" s="294">
        <v>9294</v>
      </c>
      <c r="F52" s="294">
        <v>8546</v>
      </c>
      <c r="G52" s="294">
        <v>8207</v>
      </c>
      <c r="H52" s="294">
        <v>7978</v>
      </c>
      <c r="I52" s="294">
        <v>7540</v>
      </c>
      <c r="J52" s="294">
        <v>7233</v>
      </c>
      <c r="K52" s="294">
        <v>7175</v>
      </c>
      <c r="L52" s="294">
        <v>6661</v>
      </c>
      <c r="M52" s="294">
        <v>6410</v>
      </c>
      <c r="N52" s="294">
        <v>6226</v>
      </c>
      <c r="O52" s="294">
        <v>4452</v>
      </c>
      <c r="Q52" s="322">
        <v>9982</v>
      </c>
      <c r="R52" s="322">
        <v>9069</v>
      </c>
      <c r="S52" s="322">
        <v>8710</v>
      </c>
      <c r="T52" s="322">
        <v>8469</v>
      </c>
      <c r="U52" s="324">
        <v>8000</v>
      </c>
      <c r="V52" s="324">
        <v>7678</v>
      </c>
      <c r="W52" s="324">
        <v>7620</v>
      </c>
      <c r="X52" s="324">
        <v>7081</v>
      </c>
      <c r="Y52" s="324">
        <v>6774</v>
      </c>
      <c r="Z52" s="324">
        <v>6700</v>
      </c>
      <c r="AA52" s="324">
        <v>6661</v>
      </c>
      <c r="AB52" s="324"/>
      <c r="AC52" s="299">
        <v>13273</v>
      </c>
      <c r="AD52" s="299">
        <v>20572</v>
      </c>
      <c r="AE52" s="299">
        <v>19771</v>
      </c>
      <c r="AF52" s="299">
        <v>19272</v>
      </c>
      <c r="AG52" s="324">
        <v>18122</v>
      </c>
      <c r="AH52" s="324">
        <v>17479</v>
      </c>
      <c r="AI52" s="324">
        <v>17421</v>
      </c>
      <c r="AJ52" s="324">
        <v>16077</v>
      </c>
      <c r="AK52" s="324">
        <v>15509</v>
      </c>
      <c r="AL52" s="324">
        <v>15015</v>
      </c>
      <c r="AM52" s="324">
        <v>14346</v>
      </c>
      <c r="AN52" s="324"/>
      <c r="AO52" s="322">
        <v>14305</v>
      </c>
      <c r="AP52" s="322">
        <v>21968</v>
      </c>
      <c r="AQ52" s="322">
        <v>21113</v>
      </c>
      <c r="AR52" s="322">
        <v>20581</v>
      </c>
      <c r="AS52" s="294">
        <v>19349</v>
      </c>
      <c r="AT52" s="294">
        <v>18667</v>
      </c>
      <c r="AU52" s="294">
        <v>18609</v>
      </c>
      <c r="AV52" s="294">
        <v>17169</v>
      </c>
      <c r="AW52" s="294">
        <v>16562</v>
      </c>
      <c r="AX52" s="294">
        <v>16034</v>
      </c>
      <c r="AY52" s="294">
        <v>15316</v>
      </c>
    </row>
    <row r="53" spans="1:52" x14ac:dyDescent="0.2">
      <c r="A53" s="294" t="s">
        <v>263</v>
      </c>
      <c r="C53" s="294" t="s">
        <v>357</v>
      </c>
      <c r="D53" s="294" t="s">
        <v>592</v>
      </c>
      <c r="E53" s="294">
        <v>8695</v>
      </c>
      <c r="F53" s="294">
        <v>8447</v>
      </c>
      <c r="G53" s="294">
        <v>8137</v>
      </c>
      <c r="H53" s="294">
        <v>7965</v>
      </c>
      <c r="I53" s="294">
        <v>7508</v>
      </c>
      <c r="J53" s="294">
        <v>7254</v>
      </c>
      <c r="K53" s="294">
        <v>7092</v>
      </c>
      <c r="L53" s="294">
        <v>6934</v>
      </c>
      <c r="M53" s="294">
        <v>6727</v>
      </c>
      <c r="N53" s="294">
        <v>6513</v>
      </c>
      <c r="O53" s="294">
        <v>4081</v>
      </c>
      <c r="Q53" s="322">
        <v>9698</v>
      </c>
      <c r="R53" s="322">
        <v>9189</v>
      </c>
      <c r="S53" s="322">
        <v>8643</v>
      </c>
      <c r="T53" s="322">
        <v>8461</v>
      </c>
      <c r="U53" s="324">
        <v>7975</v>
      </c>
      <c r="V53" s="324">
        <v>7704</v>
      </c>
      <c r="W53" s="324">
        <v>7531</v>
      </c>
      <c r="X53" s="324">
        <v>7362</v>
      </c>
      <c r="Y53" s="324">
        <v>6171</v>
      </c>
      <c r="Z53" s="324">
        <v>6120</v>
      </c>
      <c r="AA53" s="324">
        <v>6087</v>
      </c>
      <c r="AB53" s="324"/>
      <c r="AC53" s="299">
        <v>20759</v>
      </c>
      <c r="AD53" s="299">
        <v>20047</v>
      </c>
      <c r="AE53" s="299">
        <v>19291</v>
      </c>
      <c r="AF53" s="299">
        <v>18899</v>
      </c>
      <c r="AG53" s="324">
        <v>17793</v>
      </c>
      <c r="AH53" s="324">
        <v>17170</v>
      </c>
      <c r="AI53" s="324">
        <v>16767</v>
      </c>
      <c r="AJ53" s="324">
        <v>16373</v>
      </c>
      <c r="AK53" s="324">
        <v>15846</v>
      </c>
      <c r="AL53" s="324">
        <v>15325</v>
      </c>
      <c r="AM53" s="324">
        <v>14523</v>
      </c>
      <c r="AN53" s="324"/>
      <c r="AO53" s="322">
        <v>23436</v>
      </c>
      <c r="AP53" s="322">
        <v>22027</v>
      </c>
      <c r="AQ53" s="322">
        <v>20642</v>
      </c>
      <c r="AR53" s="322">
        <v>20224</v>
      </c>
      <c r="AS53" s="294">
        <v>19039</v>
      </c>
      <c r="AT53" s="294">
        <v>18371</v>
      </c>
      <c r="AU53" s="294">
        <v>17938</v>
      </c>
      <c r="AV53" s="294">
        <v>17515</v>
      </c>
      <c r="AW53" s="294">
        <v>16949</v>
      </c>
      <c r="AX53" s="294">
        <v>16390</v>
      </c>
      <c r="AY53" s="294">
        <v>15537</v>
      </c>
    </row>
    <row r="54" spans="1:52" x14ac:dyDescent="0.2">
      <c r="A54" s="294" t="s">
        <v>263</v>
      </c>
      <c r="B54" s="294" t="s">
        <v>262</v>
      </c>
      <c r="C54" s="294" t="s">
        <v>338</v>
      </c>
      <c r="D54" s="294" t="s">
        <v>591</v>
      </c>
      <c r="E54" s="294">
        <v>7368</v>
      </c>
      <c r="F54" s="294">
        <v>7122</v>
      </c>
      <c r="G54" s="294">
        <v>6729</v>
      </c>
      <c r="H54" s="294">
        <v>6729</v>
      </c>
      <c r="I54" s="294">
        <v>6221</v>
      </c>
      <c r="J54" s="294">
        <v>6040</v>
      </c>
      <c r="K54" s="294">
        <v>5827</v>
      </c>
      <c r="L54" s="294">
        <v>5400</v>
      </c>
      <c r="M54" s="294">
        <v>4998</v>
      </c>
      <c r="N54" s="294">
        <v>4758</v>
      </c>
      <c r="O54" s="294">
        <v>4029</v>
      </c>
      <c r="Q54" s="327">
        <v>5427</v>
      </c>
      <c r="R54" s="327">
        <v>5244</v>
      </c>
      <c r="S54" s="327">
        <v>7257</v>
      </c>
      <c r="T54" s="327">
        <v>7257</v>
      </c>
      <c r="U54" s="324">
        <v>6708</v>
      </c>
      <c r="V54" s="324">
        <v>6513</v>
      </c>
      <c r="W54" s="324">
        <v>6278</v>
      </c>
      <c r="X54" s="324">
        <v>5808</v>
      </c>
      <c r="Y54" s="324">
        <v>5364</v>
      </c>
      <c r="Z54" s="324">
        <v>5108</v>
      </c>
      <c r="AA54" s="324">
        <v>4780</v>
      </c>
      <c r="AB54" s="324"/>
      <c r="AC54" s="325">
        <v>23508</v>
      </c>
      <c r="AD54" s="325">
        <v>22701</v>
      </c>
      <c r="AE54" s="325">
        <v>21234</v>
      </c>
      <c r="AF54" s="325">
        <v>21234</v>
      </c>
      <c r="AG54" s="324">
        <v>19644</v>
      </c>
      <c r="AH54" s="324">
        <v>19068</v>
      </c>
      <c r="AI54" s="324">
        <v>18268</v>
      </c>
      <c r="AJ54" s="324">
        <v>16680</v>
      </c>
      <c r="AK54" s="324">
        <v>15150</v>
      </c>
      <c r="AL54" s="324">
        <v>14741</v>
      </c>
      <c r="AM54" s="324">
        <v>14180</v>
      </c>
      <c r="AN54" s="324"/>
      <c r="AO54" s="327">
        <v>16738</v>
      </c>
      <c r="AP54" s="327">
        <v>16163</v>
      </c>
      <c r="AQ54" s="327">
        <v>21759</v>
      </c>
      <c r="AR54" s="327">
        <v>21234</v>
      </c>
      <c r="AS54" s="332">
        <v>20131</v>
      </c>
      <c r="AT54" s="332">
        <v>19540</v>
      </c>
      <c r="AU54" s="332">
        <v>18720</v>
      </c>
      <c r="AV54" s="332">
        <v>17088</v>
      </c>
      <c r="AW54" s="332">
        <v>15534</v>
      </c>
      <c r="AX54" s="332">
        <v>15133</v>
      </c>
      <c r="AY54" s="332">
        <v>14558</v>
      </c>
      <c r="AZ54" s="332"/>
    </row>
    <row r="55" spans="1:52" x14ac:dyDescent="0.2">
      <c r="A55" s="294" t="s">
        <v>263</v>
      </c>
      <c r="B55" s="294" t="s">
        <v>262</v>
      </c>
      <c r="C55" s="294" t="s">
        <v>333</v>
      </c>
      <c r="D55" s="294" t="s">
        <v>590</v>
      </c>
      <c r="E55" s="294">
        <v>7865</v>
      </c>
      <c r="F55" s="294">
        <v>7545</v>
      </c>
      <c r="G55" s="294">
        <v>7063</v>
      </c>
      <c r="H55" s="294">
        <v>6823</v>
      </c>
      <c r="I55" s="294">
        <v>6570</v>
      </c>
      <c r="J55" s="294">
        <v>6585</v>
      </c>
      <c r="K55" s="294">
        <v>6304</v>
      </c>
      <c r="L55" s="294">
        <v>5689</v>
      </c>
      <c r="M55" s="294">
        <v>4977</v>
      </c>
      <c r="N55" s="294">
        <v>4493</v>
      </c>
      <c r="O55" s="294">
        <v>5975</v>
      </c>
      <c r="Q55" s="322">
        <v>7684</v>
      </c>
      <c r="R55" s="322">
        <v>7490</v>
      </c>
      <c r="S55" s="322">
        <v>7156</v>
      </c>
      <c r="T55" s="322">
        <v>7156</v>
      </c>
      <c r="U55" s="324">
        <v>7156</v>
      </c>
      <c r="V55" s="324">
        <v>8593</v>
      </c>
      <c r="W55" s="324">
        <v>6972</v>
      </c>
      <c r="X55" s="324">
        <v>6574</v>
      </c>
      <c r="Y55" s="324">
        <v>5902</v>
      </c>
      <c r="Z55" s="324">
        <v>5352</v>
      </c>
      <c r="AA55" s="324">
        <v>4704</v>
      </c>
      <c r="AB55" s="324"/>
      <c r="AC55" s="299">
        <v>22337</v>
      </c>
      <c r="AD55" s="299">
        <v>21733</v>
      </c>
      <c r="AE55" s="299">
        <v>20973</v>
      </c>
      <c r="AF55" s="299">
        <v>20733</v>
      </c>
      <c r="AG55" s="324">
        <v>20480</v>
      </c>
      <c r="AH55" s="324">
        <v>20495</v>
      </c>
      <c r="AI55" s="324">
        <v>19899</v>
      </c>
      <c r="AJ55" s="324">
        <v>18979</v>
      </c>
      <c r="AK55" s="324">
        <v>17317</v>
      </c>
      <c r="AL55" s="324">
        <v>15588</v>
      </c>
      <c r="AM55" s="324">
        <v>14891</v>
      </c>
      <c r="AN55" s="324"/>
      <c r="AO55" s="322">
        <v>22156</v>
      </c>
      <c r="AP55" s="322">
        <v>21678</v>
      </c>
      <c r="AQ55" s="322">
        <v>21066</v>
      </c>
      <c r="AR55" s="322">
        <v>21066</v>
      </c>
      <c r="AS55" s="294">
        <v>21066</v>
      </c>
      <c r="AT55" s="294">
        <v>22503</v>
      </c>
      <c r="AU55" s="294">
        <v>20567</v>
      </c>
      <c r="AV55" s="294">
        <v>19864</v>
      </c>
      <c r="AW55" s="294">
        <v>18242</v>
      </c>
      <c r="AX55" s="294">
        <v>16447</v>
      </c>
      <c r="AY55" s="294">
        <v>15514</v>
      </c>
    </row>
    <row r="56" spans="1:52" x14ac:dyDescent="0.2">
      <c r="A56" s="294" t="s">
        <v>263</v>
      </c>
      <c r="B56" s="294" t="s">
        <v>262</v>
      </c>
      <c r="C56" s="294" t="s">
        <v>333</v>
      </c>
      <c r="D56" s="294" t="s">
        <v>589</v>
      </c>
      <c r="E56" s="294">
        <v>7764</v>
      </c>
      <c r="F56" s="294">
        <v>7509</v>
      </c>
      <c r="G56" s="294">
        <v>7142</v>
      </c>
      <c r="H56" s="294">
        <v>6902</v>
      </c>
      <c r="I56" s="294">
        <v>6603</v>
      </c>
      <c r="J56" s="294">
        <v>6603</v>
      </c>
      <c r="K56" s="294">
        <v>6176</v>
      </c>
      <c r="L56" s="294">
        <v>5561</v>
      </c>
      <c r="M56" s="294">
        <v>4901</v>
      </c>
      <c r="N56" s="294">
        <v>4561</v>
      </c>
      <c r="O56" s="294">
        <v>6130</v>
      </c>
      <c r="Q56" s="322">
        <v>7400</v>
      </c>
      <c r="R56" s="322">
        <v>7268</v>
      </c>
      <c r="S56" s="322">
        <v>7004</v>
      </c>
      <c r="T56" s="322">
        <v>7004</v>
      </c>
      <c r="U56" s="324">
        <v>6968</v>
      </c>
      <c r="V56" s="324">
        <v>8405</v>
      </c>
      <c r="W56" s="324">
        <v>6668</v>
      </c>
      <c r="X56" s="324">
        <v>6380</v>
      </c>
      <c r="Y56" s="324">
        <v>5816</v>
      </c>
      <c r="Z56" s="324">
        <v>5380</v>
      </c>
      <c r="AA56" s="324">
        <v>4642</v>
      </c>
      <c r="AB56" s="324"/>
      <c r="AC56" s="299">
        <v>22236</v>
      </c>
      <c r="AD56" s="299">
        <v>21697</v>
      </c>
      <c r="AE56" s="299">
        <v>21052</v>
      </c>
      <c r="AF56" s="299">
        <v>20812</v>
      </c>
      <c r="AG56" s="324">
        <v>20513</v>
      </c>
      <c r="AH56" s="324">
        <v>20513</v>
      </c>
      <c r="AI56" s="324">
        <v>19771</v>
      </c>
      <c r="AJ56" s="324">
        <v>18851</v>
      </c>
      <c r="AK56" s="324">
        <v>17241</v>
      </c>
      <c r="AL56" s="324">
        <v>15656</v>
      </c>
      <c r="AM56" s="324">
        <v>14839</v>
      </c>
      <c r="AN56" s="324"/>
      <c r="AO56" s="322">
        <v>21872</v>
      </c>
      <c r="AP56" s="322">
        <v>21456</v>
      </c>
      <c r="AQ56" s="322">
        <v>20914</v>
      </c>
      <c r="AR56" s="322">
        <v>20914</v>
      </c>
      <c r="AS56" s="294">
        <v>20878</v>
      </c>
      <c r="AT56" s="294">
        <v>22315</v>
      </c>
      <c r="AU56" s="294">
        <v>20263</v>
      </c>
      <c r="AV56" s="294">
        <v>19670</v>
      </c>
      <c r="AW56" s="294">
        <v>18156</v>
      </c>
      <c r="AX56" s="294">
        <v>16475</v>
      </c>
      <c r="AY56" s="294">
        <v>15452</v>
      </c>
    </row>
    <row r="57" spans="1:52" x14ac:dyDescent="0.2">
      <c r="A57" s="294" t="s">
        <v>263</v>
      </c>
      <c r="C57" s="294" t="s">
        <v>315</v>
      </c>
      <c r="D57" s="294" t="s">
        <v>588</v>
      </c>
      <c r="E57" s="294">
        <v>11900</v>
      </c>
      <c r="F57" s="294">
        <v>11931</v>
      </c>
      <c r="G57" s="294">
        <v>10762</v>
      </c>
      <c r="H57" s="294">
        <v>10289</v>
      </c>
      <c r="I57" s="294">
        <v>9763</v>
      </c>
      <c r="J57" s="294">
        <v>9309</v>
      </c>
      <c r="K57" s="294">
        <v>8789</v>
      </c>
      <c r="L57" s="294">
        <v>8190</v>
      </c>
      <c r="M57" s="294">
        <v>7428</v>
      </c>
      <c r="N57" s="294">
        <v>6885</v>
      </c>
      <c r="O57" s="294">
        <v>6168</v>
      </c>
      <c r="Q57" s="322">
        <v>16659</v>
      </c>
      <c r="R57" s="322">
        <v>16602</v>
      </c>
      <c r="S57" s="322">
        <v>16243</v>
      </c>
      <c r="T57" s="322">
        <v>16040</v>
      </c>
      <c r="U57" s="324">
        <v>15307</v>
      </c>
      <c r="V57" s="324">
        <v>14529</v>
      </c>
      <c r="W57" s="324">
        <v>14198</v>
      </c>
      <c r="X57" s="324">
        <v>14655</v>
      </c>
      <c r="Y57" s="324">
        <v>12696</v>
      </c>
      <c r="Z57" s="324">
        <v>12144</v>
      </c>
      <c r="AA57" s="324">
        <v>11577</v>
      </c>
      <c r="AB57" s="324"/>
      <c r="AC57" s="299">
        <v>35478</v>
      </c>
      <c r="AD57" s="299">
        <v>34611</v>
      </c>
      <c r="AE57" s="299">
        <v>33442</v>
      </c>
      <c r="AF57" s="299">
        <v>32024</v>
      </c>
      <c r="AG57" s="324">
        <v>29788</v>
      </c>
      <c r="AH57" s="324">
        <v>28659</v>
      </c>
      <c r="AI57" s="324">
        <v>27653</v>
      </c>
      <c r="AJ57" s="324">
        <v>25830</v>
      </c>
      <c r="AK57" s="324">
        <v>23718</v>
      </c>
      <c r="AL57" s="324">
        <v>20988</v>
      </c>
      <c r="AM57" s="324">
        <v>19332</v>
      </c>
      <c r="AN57" s="324"/>
      <c r="AO57" s="322">
        <v>28161</v>
      </c>
      <c r="AP57" s="322">
        <v>27591</v>
      </c>
      <c r="AQ57" s="322">
        <v>26611</v>
      </c>
      <c r="AR57" s="322">
        <v>25949</v>
      </c>
      <c r="AS57" s="294">
        <v>23839</v>
      </c>
      <c r="AT57" s="294">
        <v>22197</v>
      </c>
      <c r="AU57" s="294">
        <v>20597</v>
      </c>
      <c r="AV57" s="294">
        <v>20646</v>
      </c>
      <c r="AW57" s="294">
        <v>17988</v>
      </c>
      <c r="AX57" s="294">
        <v>17166</v>
      </c>
      <c r="AY57" s="294">
        <v>16341</v>
      </c>
    </row>
    <row r="58" spans="1:52" x14ac:dyDescent="0.2">
      <c r="A58" s="294" t="s">
        <v>263</v>
      </c>
      <c r="C58" s="294" t="s">
        <v>310</v>
      </c>
      <c r="D58" s="294" t="s">
        <v>587</v>
      </c>
      <c r="E58" s="294">
        <v>8763</v>
      </c>
      <c r="F58" s="294">
        <v>8441</v>
      </c>
      <c r="G58" s="294">
        <v>8172</v>
      </c>
      <c r="H58" s="294">
        <v>8172</v>
      </c>
      <c r="I58" s="294">
        <v>7713</v>
      </c>
      <c r="J58" s="294">
        <v>7404</v>
      </c>
      <c r="K58" s="294">
        <v>6887</v>
      </c>
      <c r="L58" s="294">
        <v>6444</v>
      </c>
      <c r="M58" s="294">
        <v>6155</v>
      </c>
      <c r="N58" s="294">
        <v>5808</v>
      </c>
      <c r="O58" s="294">
        <v>5373</v>
      </c>
      <c r="Q58" s="322">
        <v>8875</v>
      </c>
      <c r="R58" s="322">
        <v>8553</v>
      </c>
      <c r="S58" s="322">
        <v>8329</v>
      </c>
      <c r="T58" s="322">
        <v>8329</v>
      </c>
      <c r="U58" s="324">
        <v>7889</v>
      </c>
      <c r="V58" s="324">
        <v>7529</v>
      </c>
      <c r="W58" s="324">
        <v>6924</v>
      </c>
      <c r="X58" s="324">
        <v>6391</v>
      </c>
      <c r="Y58" s="324">
        <v>6059</v>
      </c>
      <c r="Z58" s="324">
        <v>5739</v>
      </c>
      <c r="AA58" s="324">
        <v>5322</v>
      </c>
      <c r="AB58" s="324"/>
      <c r="AC58" s="299">
        <v>12128</v>
      </c>
      <c r="AD58" s="299">
        <v>11689</v>
      </c>
      <c r="AE58" s="299">
        <v>11403</v>
      </c>
      <c r="AF58" s="299">
        <v>11052</v>
      </c>
      <c r="AG58" s="324">
        <v>9795</v>
      </c>
      <c r="AH58" s="324">
        <v>9350</v>
      </c>
      <c r="AI58" s="324">
        <v>8602</v>
      </c>
      <c r="AJ58" s="324">
        <v>7941</v>
      </c>
      <c r="AK58" s="324">
        <v>6155</v>
      </c>
      <c r="AL58" s="324">
        <v>7128</v>
      </c>
      <c r="AM58" s="324">
        <v>6611</v>
      </c>
      <c r="AN58" s="324"/>
      <c r="AO58" s="322">
        <v>16094</v>
      </c>
      <c r="AP58" s="322">
        <v>15521</v>
      </c>
      <c r="AQ58" s="322">
        <v>15263</v>
      </c>
      <c r="AR58" s="322">
        <v>14774</v>
      </c>
      <c r="AS58" s="294">
        <v>13526</v>
      </c>
      <c r="AT58" s="294">
        <v>12803</v>
      </c>
      <c r="AU58" s="294">
        <v>11567</v>
      </c>
      <c r="AV58" s="294">
        <v>10446</v>
      </c>
      <c r="AW58" s="294">
        <v>9785</v>
      </c>
      <c r="AX58" s="294">
        <v>11992</v>
      </c>
      <c r="AY58" s="294">
        <v>11179</v>
      </c>
    </row>
    <row r="59" spans="1:52" s="307" customFormat="1" x14ac:dyDescent="0.2">
      <c r="A59" s="311" t="s">
        <v>263</v>
      </c>
      <c r="B59" s="311" t="s">
        <v>262</v>
      </c>
      <c r="C59" s="311" t="s">
        <v>306</v>
      </c>
      <c r="D59" s="311" t="s">
        <v>200</v>
      </c>
      <c r="E59" s="311">
        <v>7425</v>
      </c>
      <c r="F59" s="311">
        <v>7174</v>
      </c>
      <c r="G59" s="311">
        <v>6866</v>
      </c>
      <c r="H59" s="311">
        <v>6664</v>
      </c>
      <c r="I59" s="311">
        <v>6185</v>
      </c>
      <c r="J59" s="311">
        <v>5931</v>
      </c>
      <c r="K59" s="321">
        <v>5563</v>
      </c>
      <c r="L59" s="311">
        <v>5150</v>
      </c>
      <c r="M59" s="311">
        <v>4828</v>
      </c>
      <c r="N59" s="311">
        <v>4445</v>
      </c>
      <c r="O59" s="311">
        <v>4200</v>
      </c>
      <c r="P59" s="294"/>
      <c r="Q59" s="329">
        <v>7449</v>
      </c>
      <c r="R59" s="329">
        <v>7198</v>
      </c>
      <c r="S59" s="329">
        <f>3956*2</f>
        <v>7912</v>
      </c>
      <c r="T59" s="329">
        <v>7675</v>
      </c>
      <c r="U59" s="329">
        <v>6680</v>
      </c>
      <c r="V59" s="329">
        <v>6402</v>
      </c>
      <c r="W59" s="329">
        <v>6007</v>
      </c>
      <c r="X59" s="329">
        <v>5557</v>
      </c>
      <c r="Y59" s="329">
        <v>5204</v>
      </c>
      <c r="Z59" s="329">
        <v>4824</v>
      </c>
      <c r="AA59" s="329">
        <v>4557</v>
      </c>
      <c r="AB59" s="329"/>
      <c r="AC59" s="331">
        <v>21505</v>
      </c>
      <c r="AD59" s="331">
        <v>20726</v>
      </c>
      <c r="AE59" s="331">
        <v>19772</v>
      </c>
      <c r="AF59" s="331">
        <v>19134</v>
      </c>
      <c r="AG59" s="329">
        <v>17888</v>
      </c>
      <c r="AH59" s="329">
        <v>17078</v>
      </c>
      <c r="AI59" s="329">
        <v>16079</v>
      </c>
      <c r="AJ59" s="330">
        <v>14797</v>
      </c>
      <c r="AK59" s="329">
        <v>13802</v>
      </c>
      <c r="AL59" s="329">
        <v>12951</v>
      </c>
      <c r="AM59" s="329">
        <v>12224</v>
      </c>
      <c r="AN59" s="329"/>
      <c r="AO59" s="323">
        <v>23365</v>
      </c>
      <c r="AP59" s="323">
        <v>22517</v>
      </c>
      <c r="AQ59" s="323">
        <v>25062.720000000001</v>
      </c>
      <c r="AR59" s="329">
        <v>24245</v>
      </c>
      <c r="AS59" s="307">
        <v>21163</v>
      </c>
      <c r="AT59" s="307">
        <v>20195</v>
      </c>
      <c r="AU59" s="307">
        <v>19020</v>
      </c>
      <c r="AV59" s="307">
        <v>17495</v>
      </c>
      <c r="AW59" s="307">
        <v>16310</v>
      </c>
      <c r="AX59" s="307">
        <v>15350</v>
      </c>
      <c r="AY59" s="307">
        <v>14488</v>
      </c>
    </row>
    <row r="60" spans="1:52" x14ac:dyDescent="0.2">
      <c r="A60" s="294" t="s">
        <v>263</v>
      </c>
      <c r="B60" s="294" t="s">
        <v>262</v>
      </c>
      <c r="C60" s="294" t="s">
        <v>261</v>
      </c>
      <c r="D60" s="294" t="s">
        <v>586</v>
      </c>
      <c r="E60" s="294">
        <v>5400</v>
      </c>
      <c r="F60" s="294">
        <v>5217</v>
      </c>
      <c r="G60" s="294">
        <v>5055</v>
      </c>
      <c r="H60" s="294">
        <v>4892</v>
      </c>
      <c r="I60" s="294">
        <v>4404</v>
      </c>
      <c r="J60" s="294">
        <v>4278</v>
      </c>
      <c r="K60" s="294">
        <v>4125</v>
      </c>
      <c r="L60" s="294">
        <v>3927</v>
      </c>
      <c r="M60" s="294">
        <v>3726</v>
      </c>
      <c r="N60" s="294">
        <v>3621</v>
      </c>
      <c r="O60" s="294">
        <v>3554</v>
      </c>
      <c r="Q60" s="322">
        <v>7644</v>
      </c>
      <c r="R60" s="322">
        <v>7371</v>
      </c>
      <c r="S60" s="322">
        <v>7119</v>
      </c>
      <c r="T60" s="322">
        <v>6890</v>
      </c>
      <c r="U60" s="324">
        <v>6204</v>
      </c>
      <c r="V60" s="324">
        <v>6042</v>
      </c>
      <c r="W60" s="324">
        <v>5853</v>
      </c>
      <c r="X60" s="324">
        <v>5565</v>
      </c>
      <c r="Y60" s="324">
        <v>5298</v>
      </c>
      <c r="Z60" s="324">
        <v>4977</v>
      </c>
      <c r="AA60" s="324">
        <v>4670</v>
      </c>
      <c r="AB60" s="324"/>
      <c r="AC60" s="299">
        <v>17490</v>
      </c>
      <c r="AD60" s="299">
        <v>16827</v>
      </c>
      <c r="AE60" s="299">
        <v>16215</v>
      </c>
      <c r="AF60" s="299">
        <v>15632</v>
      </c>
      <c r="AG60" s="324">
        <v>14124</v>
      </c>
      <c r="AH60" s="324">
        <v>13428</v>
      </c>
      <c r="AI60" s="324">
        <v>12855</v>
      </c>
      <c r="AJ60" s="324">
        <v>12237</v>
      </c>
      <c r="AK60" s="324">
        <v>11646</v>
      </c>
      <c r="AL60" s="324">
        <v>11031</v>
      </c>
      <c r="AM60" s="324">
        <v>10394</v>
      </c>
      <c r="AN60" s="324"/>
      <c r="AO60" s="322">
        <v>20100</v>
      </c>
      <c r="AP60" s="322">
        <v>19347</v>
      </c>
      <c r="AQ60" s="322">
        <v>18639</v>
      </c>
      <c r="AR60" s="322">
        <v>17954</v>
      </c>
      <c r="AS60" s="294">
        <v>16260</v>
      </c>
      <c r="AT60" s="294">
        <v>15474</v>
      </c>
      <c r="AU60" s="294">
        <v>14829</v>
      </c>
      <c r="AV60" s="294">
        <v>14133</v>
      </c>
      <c r="AW60" s="294">
        <v>13458</v>
      </c>
      <c r="AX60" s="294">
        <v>12753</v>
      </c>
      <c r="AY60" s="294">
        <v>12014</v>
      </c>
    </row>
    <row r="62" spans="1:52" s="295" customFormat="1" x14ac:dyDescent="0.2">
      <c r="D62" s="296" t="s">
        <v>259</v>
      </c>
      <c r="E62" s="296">
        <f>COUNT(E46:E60)</f>
        <v>15</v>
      </c>
      <c r="F62" s="296">
        <f>COUNT(F46:F60)</f>
        <v>15</v>
      </c>
      <c r="G62" s="296">
        <f t="shared" ref="G62:L62" si="36">COUNT(G46:G60)</f>
        <v>15</v>
      </c>
      <c r="H62" s="296">
        <f t="shared" si="36"/>
        <v>15</v>
      </c>
      <c r="I62" s="296">
        <f t="shared" si="36"/>
        <v>15</v>
      </c>
      <c r="J62" s="296">
        <f t="shared" si="36"/>
        <v>15</v>
      </c>
      <c r="K62" s="296">
        <f t="shared" si="36"/>
        <v>15</v>
      </c>
      <c r="L62" s="296">
        <f t="shared" si="36"/>
        <v>15</v>
      </c>
      <c r="M62" s="296">
        <v>15</v>
      </c>
      <c r="N62" s="296">
        <v>15</v>
      </c>
      <c r="O62" s="296">
        <v>15</v>
      </c>
      <c r="Q62" s="298">
        <f>COUNT(Q46:Q60)</f>
        <v>15</v>
      </c>
      <c r="R62" s="298">
        <f>COUNT(R46:R60)</f>
        <v>15</v>
      </c>
      <c r="S62" s="297">
        <f t="shared" ref="S62:X62" si="37">COUNT(S46:S60)</f>
        <v>15</v>
      </c>
      <c r="T62" s="297">
        <f t="shared" si="37"/>
        <v>15</v>
      </c>
      <c r="U62" s="297">
        <f t="shared" si="37"/>
        <v>15</v>
      </c>
      <c r="V62" s="297">
        <f t="shared" si="37"/>
        <v>15</v>
      </c>
      <c r="W62" s="296">
        <f t="shared" si="37"/>
        <v>15</v>
      </c>
      <c r="X62" s="296">
        <f t="shared" si="37"/>
        <v>15</v>
      </c>
      <c r="Y62" s="296">
        <v>15</v>
      </c>
      <c r="Z62" s="296">
        <v>15</v>
      </c>
      <c r="AA62" s="296">
        <v>15</v>
      </c>
      <c r="AC62" s="298">
        <f>COUNT(AC46:AC60)</f>
        <v>15</v>
      </c>
      <c r="AD62" s="298">
        <f>COUNT(AD46:AD60)</f>
        <v>15</v>
      </c>
      <c r="AE62" s="297">
        <f t="shared" ref="AE62:AJ62" si="38">COUNT(AE46:AE60)</f>
        <v>15</v>
      </c>
      <c r="AF62" s="297">
        <f t="shared" si="38"/>
        <v>15</v>
      </c>
      <c r="AG62" s="297">
        <f t="shared" si="38"/>
        <v>15</v>
      </c>
      <c r="AH62" s="297">
        <f t="shared" si="38"/>
        <v>15</v>
      </c>
      <c r="AI62" s="296">
        <f t="shared" si="38"/>
        <v>15</v>
      </c>
      <c r="AJ62" s="296">
        <f t="shared" si="38"/>
        <v>15</v>
      </c>
      <c r="AK62" s="296">
        <v>15</v>
      </c>
      <c r="AL62" s="296">
        <v>15</v>
      </c>
      <c r="AM62" s="296">
        <v>15</v>
      </c>
      <c r="AO62" s="298">
        <f>COUNT(AO46:AO60)</f>
        <v>15</v>
      </c>
      <c r="AP62" s="298">
        <f>COUNT(AP46:AP60)</f>
        <v>15</v>
      </c>
      <c r="AQ62" s="297">
        <f t="shared" ref="AQ62:AV62" si="39">COUNT(AQ46:AQ60)</f>
        <v>15</v>
      </c>
      <c r="AR62" s="297">
        <f t="shared" si="39"/>
        <v>15</v>
      </c>
      <c r="AS62" s="297">
        <f t="shared" si="39"/>
        <v>15</v>
      </c>
      <c r="AT62" s="297">
        <f t="shared" si="39"/>
        <v>15</v>
      </c>
      <c r="AU62" s="296">
        <f t="shared" si="39"/>
        <v>15</v>
      </c>
      <c r="AV62" s="296">
        <f t="shared" si="39"/>
        <v>15</v>
      </c>
      <c r="AW62" s="296">
        <v>15</v>
      </c>
      <c r="AX62" s="296">
        <v>15</v>
      </c>
      <c r="AY62" s="296">
        <v>15</v>
      </c>
    </row>
    <row r="63" spans="1:52" s="295" customFormat="1" x14ac:dyDescent="0.2">
      <c r="D63" s="296" t="s">
        <v>257</v>
      </c>
      <c r="E63" s="296">
        <f>MAX(E46:E60)</f>
        <v>18964</v>
      </c>
      <c r="F63" s="296">
        <f>MAX(F46:F60)</f>
        <v>18386</v>
      </c>
      <c r="G63" s="296">
        <f>MAX(G46:G60)</f>
        <v>17868</v>
      </c>
      <c r="H63" s="296">
        <f>MAX(H46:H60)</f>
        <v>17353</v>
      </c>
      <c r="I63" s="296">
        <f t="shared" ref="I63:O63" si="40">MAX(I46:I60)</f>
        <v>16485</v>
      </c>
      <c r="J63" s="296">
        <f t="shared" si="40"/>
        <v>15654</v>
      </c>
      <c r="K63" s="296">
        <f t="shared" si="40"/>
        <v>14454</v>
      </c>
      <c r="L63" s="296">
        <f t="shared" si="40"/>
        <v>13404</v>
      </c>
      <c r="M63" s="861">
        <f t="shared" si="40"/>
        <v>12244</v>
      </c>
      <c r="N63" s="861">
        <f t="shared" si="40"/>
        <v>11239</v>
      </c>
      <c r="O63" s="861">
        <f t="shared" si="40"/>
        <v>10050</v>
      </c>
      <c r="P63" s="862"/>
      <c r="Q63" s="859">
        <f>MAX(Q46:Q60)</f>
        <v>18946</v>
      </c>
      <c r="R63" s="859">
        <f>MAX(R46:R60)</f>
        <v>18386</v>
      </c>
      <c r="S63" s="863">
        <f>MAX(S46:S60)</f>
        <v>17762</v>
      </c>
      <c r="T63" s="863">
        <f>MAX(T46:T60)</f>
        <v>17353</v>
      </c>
      <c r="U63" s="863">
        <f>MAX(U46:U60)</f>
        <v>16485</v>
      </c>
      <c r="V63" s="863">
        <f t="shared" ref="V63:AA63" si="41">MAX(V46:V60)</f>
        <v>15654</v>
      </c>
      <c r="W63" s="296">
        <f t="shared" si="41"/>
        <v>14454</v>
      </c>
      <c r="X63" s="296">
        <f t="shared" si="41"/>
        <v>14655</v>
      </c>
      <c r="Y63" s="861">
        <f t="shared" si="41"/>
        <v>12696</v>
      </c>
      <c r="Z63" s="861">
        <f t="shared" si="41"/>
        <v>12144</v>
      </c>
      <c r="AA63" s="861">
        <f t="shared" si="41"/>
        <v>11577</v>
      </c>
      <c r="AB63" s="862"/>
      <c r="AC63" s="859">
        <f>MAX(AC46:AC60)</f>
        <v>38584</v>
      </c>
      <c r="AD63" s="859">
        <f>MAX(AD46:AD60)</f>
        <v>37436</v>
      </c>
      <c r="AE63" s="863">
        <f>MAX(AE46:AE60)</f>
        <v>36172</v>
      </c>
      <c r="AF63" s="863">
        <f>MAX(AF46:AF60)</f>
        <v>34828</v>
      </c>
      <c r="AG63" s="863">
        <f>MAX(AG46:AG60)</f>
        <v>32415</v>
      </c>
      <c r="AH63" s="863">
        <f t="shared" ref="AH63:AM63" si="42">MAX(AH46:AH60)</f>
        <v>30684</v>
      </c>
      <c r="AI63" s="296">
        <f t="shared" si="42"/>
        <v>29139</v>
      </c>
      <c r="AJ63" s="296">
        <f t="shared" si="42"/>
        <v>27834</v>
      </c>
      <c r="AK63" s="861">
        <f t="shared" si="42"/>
        <v>26404</v>
      </c>
      <c r="AL63" s="861">
        <f t="shared" si="42"/>
        <v>25249</v>
      </c>
      <c r="AM63" s="861">
        <f t="shared" si="42"/>
        <v>23036</v>
      </c>
      <c r="AN63" s="862"/>
      <c r="AO63" s="859">
        <f>MAX(AO46:AO60)</f>
        <v>38584</v>
      </c>
      <c r="AP63" s="859">
        <f>MAX(AP46:AP60)</f>
        <v>37436</v>
      </c>
      <c r="AQ63" s="863">
        <f>MAX(AQ46:AQ60)</f>
        <v>36172</v>
      </c>
      <c r="AR63" s="863">
        <f>MAX(AR46:AR60)</f>
        <v>34828</v>
      </c>
      <c r="AS63" s="863">
        <f>MAX(AS46:AS60)</f>
        <v>32415</v>
      </c>
      <c r="AT63" s="863">
        <f t="shared" ref="AT63:AY63" si="43">MAX(AT46:AT60)</f>
        <v>30684</v>
      </c>
      <c r="AU63" s="296">
        <f t="shared" si="43"/>
        <v>29139</v>
      </c>
      <c r="AV63" s="296">
        <f t="shared" si="43"/>
        <v>27834</v>
      </c>
      <c r="AW63" s="861">
        <f t="shared" si="43"/>
        <v>26404</v>
      </c>
      <c r="AX63" s="861">
        <f t="shared" si="43"/>
        <v>25243</v>
      </c>
      <c r="AY63" s="861">
        <f t="shared" si="43"/>
        <v>23030</v>
      </c>
    </row>
    <row r="64" spans="1:52" s="295" customFormat="1" x14ac:dyDescent="0.2">
      <c r="D64" s="296" t="s">
        <v>256</v>
      </c>
      <c r="E64" s="296">
        <f>MIN(E46:E60)</f>
        <v>5400</v>
      </c>
      <c r="F64" s="296">
        <f>MIN(F46:F60)</f>
        <v>5217</v>
      </c>
      <c r="G64" s="296">
        <f>MIN(G46:G60)</f>
        <v>5055</v>
      </c>
      <c r="H64" s="296">
        <f>MIN(H46:H60)</f>
        <v>4892</v>
      </c>
      <c r="I64" s="296">
        <f t="shared" ref="I64:O64" si="44">MIN(I46:I60)</f>
        <v>4404</v>
      </c>
      <c r="J64" s="296">
        <f t="shared" si="44"/>
        <v>4278</v>
      </c>
      <c r="K64" s="296">
        <f t="shared" si="44"/>
        <v>4125</v>
      </c>
      <c r="L64" s="296">
        <f t="shared" si="44"/>
        <v>3927</v>
      </c>
      <c r="M64" s="861">
        <f t="shared" si="44"/>
        <v>3726</v>
      </c>
      <c r="N64" s="861">
        <f t="shared" si="44"/>
        <v>3621</v>
      </c>
      <c r="O64" s="861">
        <f t="shared" si="44"/>
        <v>3428</v>
      </c>
      <c r="P64" s="862"/>
      <c r="Q64" s="859">
        <f>MIN(Q46:Q60)</f>
        <v>5427</v>
      </c>
      <c r="R64" s="859">
        <f>MIN(R46:R60)</f>
        <v>5244</v>
      </c>
      <c r="S64" s="863">
        <f>MIN(S46:S60)</f>
        <v>7004</v>
      </c>
      <c r="T64" s="863">
        <f>MIN(T46:T60)</f>
        <v>6890</v>
      </c>
      <c r="U64" s="863">
        <f>MIN(U46:U60)</f>
        <v>6204</v>
      </c>
      <c r="V64" s="863">
        <f t="shared" ref="V64:AA64" si="45">MIN(V46:V60)</f>
        <v>6042</v>
      </c>
      <c r="W64" s="296">
        <f t="shared" si="45"/>
        <v>5853</v>
      </c>
      <c r="X64" s="296">
        <f t="shared" si="45"/>
        <v>5557</v>
      </c>
      <c r="Y64" s="861">
        <f t="shared" si="45"/>
        <v>5204</v>
      </c>
      <c r="Z64" s="861">
        <f t="shared" si="45"/>
        <v>4462</v>
      </c>
      <c r="AA64" s="861">
        <f t="shared" si="45"/>
        <v>4070</v>
      </c>
      <c r="AB64" s="862"/>
      <c r="AC64" s="859">
        <f>MIN(AC46:AC60)</f>
        <v>12128</v>
      </c>
      <c r="AD64" s="859">
        <f>MIN(AD46:AD60)</f>
        <v>11689</v>
      </c>
      <c r="AE64" s="863">
        <f>MIN(AE46:AE60)</f>
        <v>11403</v>
      </c>
      <c r="AF64" s="863">
        <f>MIN(AF46:AF60)</f>
        <v>11052</v>
      </c>
      <c r="AG64" s="863">
        <f>MIN(AG46:AG60)</f>
        <v>9795</v>
      </c>
      <c r="AH64" s="863">
        <f t="shared" ref="AH64:AM64" si="46">MIN(AH46:AH60)</f>
        <v>9350</v>
      </c>
      <c r="AI64" s="296">
        <f t="shared" si="46"/>
        <v>8602</v>
      </c>
      <c r="AJ64" s="296">
        <f t="shared" si="46"/>
        <v>7941</v>
      </c>
      <c r="AK64" s="861">
        <f t="shared" si="46"/>
        <v>6155</v>
      </c>
      <c r="AL64" s="861">
        <f t="shared" si="46"/>
        <v>7128</v>
      </c>
      <c r="AM64" s="861">
        <f t="shared" si="46"/>
        <v>6611</v>
      </c>
      <c r="AN64" s="862"/>
      <c r="AO64" s="859">
        <f>MIN(AO46:AO60)</f>
        <v>14305</v>
      </c>
      <c r="AP64" s="859">
        <f>MIN(AP46:AP60)</f>
        <v>15521</v>
      </c>
      <c r="AQ64" s="863">
        <f>MIN(AQ46:AQ60)</f>
        <v>15263</v>
      </c>
      <c r="AR64" s="863">
        <f>MIN(AR46:AR60)</f>
        <v>14774</v>
      </c>
      <c r="AS64" s="863">
        <f>MIN(AS46:AS60)</f>
        <v>13526</v>
      </c>
      <c r="AT64" s="863">
        <f t="shared" ref="AT64:AY64" si="47">MIN(AT46:AT60)</f>
        <v>12803</v>
      </c>
      <c r="AU64" s="296">
        <f t="shared" si="47"/>
        <v>11567</v>
      </c>
      <c r="AV64" s="296">
        <f t="shared" si="47"/>
        <v>10446</v>
      </c>
      <c r="AW64" s="861">
        <f t="shared" si="47"/>
        <v>9785</v>
      </c>
      <c r="AX64" s="861">
        <f t="shared" si="47"/>
        <v>11992</v>
      </c>
      <c r="AY64" s="861">
        <f t="shared" si="47"/>
        <v>11179</v>
      </c>
    </row>
    <row r="65" spans="1:51" s="295" customFormat="1" x14ac:dyDescent="0.2">
      <c r="D65" s="296" t="s">
        <v>255</v>
      </c>
      <c r="E65" s="296">
        <f>AVERAGE(E46:E60)</f>
        <v>9029.7333333333336</v>
      </c>
      <c r="F65" s="296">
        <f>AVERAGE(F46:F60)</f>
        <v>8727.0666666666675</v>
      </c>
      <c r="G65" s="296">
        <f>AVERAGE(G46:G60)</f>
        <v>8298.6666666666661</v>
      </c>
      <c r="H65" s="296">
        <f>AVERAGE(H46:H60)</f>
        <v>8072.1333333333332</v>
      </c>
      <c r="I65" s="296">
        <f t="shared" ref="I65:O65" si="48">AVERAGE(I46:I60)</f>
        <v>7583.666666666667</v>
      </c>
      <c r="J65" s="296">
        <f t="shared" si="48"/>
        <v>7348.2</v>
      </c>
      <c r="K65" s="296">
        <f t="shared" si="48"/>
        <v>6996</v>
      </c>
      <c r="L65" s="296">
        <f t="shared" si="48"/>
        <v>6431.2666666666664</v>
      </c>
      <c r="M65" s="861">
        <f t="shared" si="48"/>
        <v>5958.1333333333332</v>
      </c>
      <c r="N65" s="861">
        <f t="shared" si="48"/>
        <v>5498.6</v>
      </c>
      <c r="O65" s="861">
        <f t="shared" si="48"/>
        <v>5104.5333333333338</v>
      </c>
      <c r="P65" s="862"/>
      <c r="Q65" s="859">
        <f>AVERAGE(Q46:Q60)</f>
        <v>10041.4</v>
      </c>
      <c r="R65" s="859">
        <f>AVERAGE(R46:R60)</f>
        <v>9672.0666666666675</v>
      </c>
      <c r="S65" s="863">
        <f>AVERAGE(S46:S60)</f>
        <v>9483.9333333333325</v>
      </c>
      <c r="T65" s="863">
        <f>AVERAGE(T46:T60)</f>
        <v>9286.6</v>
      </c>
      <c r="U65" s="863">
        <f>AVERAGE(U46:U60)</f>
        <v>8708.7333333333336</v>
      </c>
      <c r="V65" s="863">
        <f t="shared" ref="V65:AA65" si="49">AVERAGE(V46:V60)</f>
        <v>8630.1333333333332</v>
      </c>
      <c r="W65" s="296">
        <f t="shared" si="49"/>
        <v>8092.2</v>
      </c>
      <c r="X65" s="296">
        <f t="shared" si="49"/>
        <v>7590.666666666667</v>
      </c>
      <c r="Y65" s="861">
        <f t="shared" si="49"/>
        <v>6925.666666666667</v>
      </c>
      <c r="Z65" s="861">
        <f t="shared" si="49"/>
        <v>6455.8666666666668</v>
      </c>
      <c r="AA65" s="861">
        <f t="shared" si="49"/>
        <v>6057.4666666666662</v>
      </c>
      <c r="AB65" s="862"/>
      <c r="AC65" s="859">
        <f>AVERAGE(AC46:AC60)</f>
        <v>23131.4</v>
      </c>
      <c r="AD65" s="859">
        <f>AVERAGE(AD46:AD60)</f>
        <v>22925.533333333333</v>
      </c>
      <c r="AE65" s="863">
        <f>AVERAGE(AE46:AE60)</f>
        <v>21956.533333333333</v>
      </c>
      <c r="AF65" s="863">
        <f>AVERAGE(AF46:AF60)</f>
        <v>21318.6</v>
      </c>
      <c r="AG65" s="863">
        <f>AVERAGE(AG46:AG60)</f>
        <v>20017.466666666667</v>
      </c>
      <c r="AH65" s="863">
        <f t="shared" ref="AH65:AM65" si="50">AVERAGE(AH46:AH60)</f>
        <v>19446.733333333334</v>
      </c>
      <c r="AI65" s="296">
        <f t="shared" si="50"/>
        <v>18736.933333333334</v>
      </c>
      <c r="AJ65" s="296">
        <f t="shared" si="50"/>
        <v>17609.733333333334</v>
      </c>
      <c r="AK65" s="861">
        <f t="shared" si="50"/>
        <v>16304.4</v>
      </c>
      <c r="AL65" s="861">
        <f t="shared" si="50"/>
        <v>15309.733333333334</v>
      </c>
      <c r="AM65" s="861">
        <f t="shared" si="50"/>
        <v>14411.133333333333</v>
      </c>
      <c r="AN65" s="862"/>
      <c r="AO65" s="859">
        <f>AVERAGE(AO46:AO60)</f>
        <v>23205.866666666665</v>
      </c>
      <c r="AP65" s="859">
        <f>AVERAGE(AP46:AP60)</f>
        <v>23636.666666666668</v>
      </c>
      <c r="AQ65" s="863">
        <f>AVERAGE(AQ46:AQ60)</f>
        <v>22639.981333333333</v>
      </c>
      <c r="AR65" s="863">
        <f>AVERAGE(AR46:AR60)</f>
        <v>22018.266666666666</v>
      </c>
      <c r="AS65" s="863">
        <f>AVERAGE(AS46:AS60)</f>
        <v>20738.533333333333</v>
      </c>
      <c r="AT65" s="863">
        <f t="shared" ref="AT65:AY65" si="51">AVERAGE(AT46:AT60)</f>
        <v>20297.400000000001</v>
      </c>
      <c r="AU65" s="296">
        <f t="shared" si="51"/>
        <v>19177.733333333334</v>
      </c>
      <c r="AV65" s="296">
        <f t="shared" si="51"/>
        <v>18122.133333333335</v>
      </c>
      <c r="AW65" s="861">
        <f t="shared" si="51"/>
        <v>17018.133333333335</v>
      </c>
      <c r="AX65" s="861">
        <f t="shared" si="51"/>
        <v>16187.066666666668</v>
      </c>
      <c r="AY65" s="861">
        <f t="shared" si="51"/>
        <v>15302.4</v>
      </c>
    </row>
    <row r="66" spans="1:51" s="295" customFormat="1" x14ac:dyDescent="0.2">
      <c r="D66" s="296" t="s">
        <v>585</v>
      </c>
      <c r="E66" s="296">
        <f>RANK(E59,E46:E60,0)</f>
        <v>12</v>
      </c>
      <c r="F66" s="296">
        <f t="shared" ref="F66:K66" si="52">RANK(F59,F46:F60,0)</f>
        <v>12</v>
      </c>
      <c r="G66" s="296">
        <f t="shared" si="52"/>
        <v>12</v>
      </c>
      <c r="H66" s="296">
        <f t="shared" si="52"/>
        <v>13</v>
      </c>
      <c r="I66" s="296">
        <f t="shared" si="52"/>
        <v>12</v>
      </c>
      <c r="J66" s="296">
        <f t="shared" si="52"/>
        <v>13</v>
      </c>
      <c r="K66" s="296">
        <f t="shared" si="52"/>
        <v>14</v>
      </c>
      <c r="L66" s="296">
        <v>14</v>
      </c>
      <c r="M66" s="296">
        <v>14</v>
      </c>
      <c r="N66" s="296">
        <v>13</v>
      </c>
      <c r="O66" s="296">
        <v>11</v>
      </c>
      <c r="Q66" s="298">
        <f>RANK(Q59,Q46:Q60,0)</f>
        <v>13</v>
      </c>
      <c r="R66" s="298">
        <f t="shared" ref="R66:W66" si="53">RANK(R59,R46:R60,0)</f>
        <v>14</v>
      </c>
      <c r="S66" s="297">
        <f t="shared" si="53"/>
        <v>10</v>
      </c>
      <c r="T66" s="297">
        <f t="shared" si="53"/>
        <v>10</v>
      </c>
      <c r="U66" s="297">
        <f t="shared" si="53"/>
        <v>14</v>
      </c>
      <c r="V66" s="297">
        <f t="shared" si="53"/>
        <v>14</v>
      </c>
      <c r="W66" s="296">
        <f t="shared" si="53"/>
        <v>14</v>
      </c>
      <c r="X66" s="296">
        <v>15</v>
      </c>
      <c r="Y66" s="296">
        <v>15</v>
      </c>
      <c r="Z66" s="296">
        <v>14</v>
      </c>
      <c r="AA66" s="296">
        <v>14</v>
      </c>
      <c r="AC66" s="298">
        <f>RANK(AC59,AC46:AC60,0)</f>
        <v>10</v>
      </c>
      <c r="AD66" s="298">
        <f t="shared" ref="AD66:AI66" si="54">RANK(AD59,AD46:AD60,0)</f>
        <v>10</v>
      </c>
      <c r="AE66" s="297">
        <f t="shared" si="54"/>
        <v>10</v>
      </c>
      <c r="AF66" s="297">
        <f t="shared" si="54"/>
        <v>11</v>
      </c>
      <c r="AG66" s="297">
        <f t="shared" si="54"/>
        <v>12</v>
      </c>
      <c r="AH66" s="297">
        <f t="shared" si="54"/>
        <v>13</v>
      </c>
      <c r="AI66" s="296">
        <f t="shared" si="54"/>
        <v>13</v>
      </c>
      <c r="AJ66" s="296">
        <v>13</v>
      </c>
      <c r="AK66" s="296">
        <v>13</v>
      </c>
      <c r="AL66" s="296">
        <v>13</v>
      </c>
      <c r="AM66" s="296">
        <v>13</v>
      </c>
      <c r="AO66" s="298">
        <f t="shared" ref="AO66:AU66" si="55">RANK(AO59,AO46:AO60,0)</f>
        <v>8</v>
      </c>
      <c r="AP66" s="298">
        <f t="shared" si="55"/>
        <v>7</v>
      </c>
      <c r="AQ66" s="297">
        <f t="shared" si="55"/>
        <v>4</v>
      </c>
      <c r="AR66" s="297">
        <f t="shared" si="55"/>
        <v>4</v>
      </c>
      <c r="AS66" s="297">
        <f t="shared" si="55"/>
        <v>4</v>
      </c>
      <c r="AT66" s="297">
        <f t="shared" si="55"/>
        <v>6</v>
      </c>
      <c r="AU66" s="296">
        <f t="shared" si="55"/>
        <v>8</v>
      </c>
      <c r="AV66" s="296">
        <v>10</v>
      </c>
      <c r="AW66" s="296">
        <v>11</v>
      </c>
      <c r="AX66" s="296">
        <v>10</v>
      </c>
      <c r="AY66" s="296">
        <v>12</v>
      </c>
    </row>
    <row r="67" spans="1:51" s="295" customFormat="1" x14ac:dyDescent="0.2">
      <c r="D67" s="296"/>
      <c r="E67" s="296"/>
      <c r="F67" s="296"/>
      <c r="G67" s="296"/>
      <c r="H67" s="296"/>
      <c r="I67" s="296"/>
      <c r="J67" s="296"/>
      <c r="K67" s="296"/>
      <c r="L67" s="296"/>
      <c r="M67" s="296"/>
      <c r="N67" s="296"/>
      <c r="O67" s="296"/>
      <c r="Q67" s="298"/>
      <c r="R67" s="298"/>
      <c r="S67" s="297"/>
      <c r="T67" s="297"/>
      <c r="U67" s="297"/>
      <c r="V67" s="297"/>
      <c r="W67" s="296"/>
      <c r="X67" s="296"/>
      <c r="Y67" s="296"/>
      <c r="Z67" s="296"/>
      <c r="AA67" s="296"/>
      <c r="AC67" s="298"/>
      <c r="AD67" s="298"/>
      <c r="AE67" s="297"/>
      <c r="AF67" s="297"/>
      <c r="AG67" s="297"/>
      <c r="AH67" s="297"/>
      <c r="AI67" s="296"/>
      <c r="AJ67" s="296"/>
      <c r="AK67" s="296"/>
      <c r="AL67" s="296"/>
      <c r="AM67" s="296"/>
      <c r="AO67" s="298"/>
      <c r="AP67" s="298"/>
      <c r="AQ67" s="297"/>
      <c r="AR67" s="297"/>
      <c r="AS67" s="297"/>
      <c r="AT67" s="297"/>
      <c r="AU67" s="296"/>
      <c r="AV67" s="296"/>
      <c r="AW67" s="296"/>
      <c r="AX67" s="296"/>
      <c r="AY67" s="296"/>
    </row>
    <row r="68" spans="1:51" s="295" customFormat="1" x14ac:dyDescent="0.2">
      <c r="D68" s="296" t="s">
        <v>251</v>
      </c>
      <c r="E68" s="296">
        <f>COUNT(E60,E59,E56,E55,E54,E51,E50,E49,E47)</f>
        <v>9</v>
      </c>
      <c r="F68" s="296">
        <f>COUNT(F60,F59,F56,F55,F54,F51,F50,F49,F47)</f>
        <v>9</v>
      </c>
      <c r="G68" s="296">
        <f t="shared" ref="G68:L68" si="56">COUNT(G60,G59,G56,G55,G54,G51,G50,G49,G47)</f>
        <v>9</v>
      </c>
      <c r="H68" s="296">
        <f t="shared" si="56"/>
        <v>9</v>
      </c>
      <c r="I68" s="296">
        <f t="shared" si="56"/>
        <v>9</v>
      </c>
      <c r="J68" s="296">
        <f t="shared" si="56"/>
        <v>9</v>
      </c>
      <c r="K68" s="296">
        <f t="shared" si="56"/>
        <v>9</v>
      </c>
      <c r="L68" s="296">
        <f t="shared" si="56"/>
        <v>9</v>
      </c>
      <c r="M68" s="296">
        <v>9</v>
      </c>
      <c r="N68" s="296">
        <v>9</v>
      </c>
      <c r="O68" s="296">
        <v>9</v>
      </c>
      <c r="Q68" s="298">
        <f>COUNT(Q60,Q59,Q56,Q55,Q54,Q51,Q50,Q49,Q47)</f>
        <v>9</v>
      </c>
      <c r="R68" s="298">
        <f>COUNT(R60,R59,R56,R55,R54,R51,R50,R49,R47)</f>
        <v>9</v>
      </c>
      <c r="S68" s="297">
        <f t="shared" ref="S68:X68" si="57">COUNT(S60,S59,S56,S55,S54,S51,S50,S49,S47)</f>
        <v>9</v>
      </c>
      <c r="T68" s="297">
        <f t="shared" si="57"/>
        <v>9</v>
      </c>
      <c r="U68" s="297">
        <f t="shared" si="57"/>
        <v>9</v>
      </c>
      <c r="V68" s="297">
        <f t="shared" si="57"/>
        <v>9</v>
      </c>
      <c r="W68" s="296">
        <f t="shared" si="57"/>
        <v>9</v>
      </c>
      <c r="X68" s="296">
        <f t="shared" si="57"/>
        <v>9</v>
      </c>
      <c r="Y68" s="296">
        <v>9</v>
      </c>
      <c r="Z68" s="296">
        <v>9</v>
      </c>
      <c r="AA68" s="296">
        <v>9</v>
      </c>
      <c r="AC68" s="298">
        <f>COUNT(AC60,AC59,AC56,AC55,AC54,AC51,AC50,AC49,AC47)</f>
        <v>9</v>
      </c>
      <c r="AD68" s="298">
        <f>COUNT(AD60,AD59,AD56,AD55,AD54,AD51,AD50,AD49,AD47)</f>
        <v>9</v>
      </c>
      <c r="AE68" s="297">
        <f t="shared" ref="AE68:AJ68" si="58">COUNT(AE60,AE59,AE56,AE55,AE54,AE51,AE50,AE49,AE47)</f>
        <v>9</v>
      </c>
      <c r="AF68" s="297">
        <f t="shared" si="58"/>
        <v>9</v>
      </c>
      <c r="AG68" s="297">
        <f t="shared" si="58"/>
        <v>9</v>
      </c>
      <c r="AH68" s="297">
        <f t="shared" si="58"/>
        <v>9</v>
      </c>
      <c r="AI68" s="296">
        <f t="shared" si="58"/>
        <v>9</v>
      </c>
      <c r="AJ68" s="296">
        <f t="shared" si="58"/>
        <v>9</v>
      </c>
      <c r="AK68" s="296">
        <v>9</v>
      </c>
      <c r="AL68" s="296">
        <v>9</v>
      </c>
      <c r="AM68" s="296">
        <v>9</v>
      </c>
      <c r="AO68" s="298">
        <f>COUNT(AO60,AO59,AO56,AO55,AO54,AO51,AO50,AO49,AO47)</f>
        <v>9</v>
      </c>
      <c r="AP68" s="298">
        <f>COUNT(AP60,AP59,AP56,AP55,AP54,AP51,AP50,AP49,AP47)</f>
        <v>9</v>
      </c>
      <c r="AQ68" s="297">
        <f t="shared" ref="AQ68:AV68" si="59">COUNT(AQ60,AQ59,AQ56,AQ55,AQ54,AQ51,AQ50,AQ49,AQ47)</f>
        <v>9</v>
      </c>
      <c r="AR68" s="297">
        <f t="shared" si="59"/>
        <v>9</v>
      </c>
      <c r="AS68" s="297">
        <f t="shared" si="59"/>
        <v>9</v>
      </c>
      <c r="AT68" s="297">
        <f t="shared" si="59"/>
        <v>9</v>
      </c>
      <c r="AU68" s="296">
        <f t="shared" si="59"/>
        <v>9</v>
      </c>
      <c r="AV68" s="296">
        <f t="shared" si="59"/>
        <v>9</v>
      </c>
      <c r="AW68" s="296">
        <v>9</v>
      </c>
      <c r="AX68" s="296">
        <v>9</v>
      </c>
      <c r="AY68" s="296">
        <v>9</v>
      </c>
    </row>
    <row r="69" spans="1:51" s="295" customFormat="1" x14ac:dyDescent="0.2">
      <c r="D69" s="296" t="s">
        <v>250</v>
      </c>
      <c r="E69" s="296">
        <f>MAX(E60,E59,E56,E55,E54,E51,E50,E49,E47)</f>
        <v>18964</v>
      </c>
      <c r="F69" s="296">
        <f>MAX(F60,F59,F56,F55,F54,F51,F50,F49,F47)</f>
        <v>18386</v>
      </c>
      <c r="G69" s="296">
        <f t="shared" ref="G69:L69" si="60">MAX(G60,G59,G56,G55,G54,G51,G50,G49,G47)</f>
        <v>17868</v>
      </c>
      <c r="H69" s="296">
        <f t="shared" si="60"/>
        <v>17353</v>
      </c>
      <c r="I69" s="296">
        <f t="shared" si="60"/>
        <v>16485</v>
      </c>
      <c r="J69" s="296">
        <f t="shared" si="60"/>
        <v>15654</v>
      </c>
      <c r="K69" s="296">
        <f t="shared" si="60"/>
        <v>14454</v>
      </c>
      <c r="L69" s="296">
        <f t="shared" si="60"/>
        <v>13404</v>
      </c>
      <c r="M69" s="861">
        <v>12244</v>
      </c>
      <c r="N69" s="861">
        <v>11239</v>
      </c>
      <c r="O69" s="861">
        <v>10050</v>
      </c>
      <c r="Q69" s="298">
        <f>MAX(Q60,Q59,Q56,Q55,Q54,Q51,Q50,Q49,Q47)</f>
        <v>18946</v>
      </c>
      <c r="R69" s="298">
        <f>MAX(R60,R59,R56,R55,R54,R51,R50,R49,R47)</f>
        <v>18386</v>
      </c>
      <c r="S69" s="297">
        <f t="shared" ref="S69:X69" si="61">MAX(S60,S59,S56,S55,S54,S51,S50,S49,S47)</f>
        <v>17762</v>
      </c>
      <c r="T69" s="297">
        <f t="shared" si="61"/>
        <v>17353</v>
      </c>
      <c r="U69" s="297">
        <f t="shared" si="61"/>
        <v>16485</v>
      </c>
      <c r="V69" s="297">
        <f t="shared" si="61"/>
        <v>15654</v>
      </c>
      <c r="W69" s="296">
        <f t="shared" si="61"/>
        <v>14454</v>
      </c>
      <c r="X69" s="296">
        <f t="shared" si="61"/>
        <v>13404</v>
      </c>
      <c r="Y69" s="861">
        <v>12238</v>
      </c>
      <c r="Z69" s="861">
        <v>11239</v>
      </c>
      <c r="AA69" s="861">
        <v>10250</v>
      </c>
      <c r="AC69" s="298">
        <f>MAX(AC60,AC59,AC56,AC55,AC54,AC51,AC50,AC49,AC47)</f>
        <v>38584</v>
      </c>
      <c r="AD69" s="298">
        <f>MAX(AD60,AD59,AD56,AD55,AD54,AD51,AD50,AD49,AD47)</f>
        <v>37436</v>
      </c>
      <c r="AE69" s="297">
        <f t="shared" ref="AE69:AJ69" si="62">MAX(AE60,AE59,AE56,AE55,AE54,AE51,AE50,AE49,AE47)</f>
        <v>36172</v>
      </c>
      <c r="AF69" s="297">
        <f t="shared" si="62"/>
        <v>34828</v>
      </c>
      <c r="AG69" s="297">
        <f t="shared" si="62"/>
        <v>32415</v>
      </c>
      <c r="AH69" s="297">
        <f t="shared" si="62"/>
        <v>30684</v>
      </c>
      <c r="AI69" s="296">
        <f t="shared" si="62"/>
        <v>29139</v>
      </c>
      <c r="AJ69" s="296">
        <f t="shared" si="62"/>
        <v>27834</v>
      </c>
      <c r="AK69" s="861">
        <v>26404</v>
      </c>
      <c r="AL69" s="861">
        <v>25249</v>
      </c>
      <c r="AM69" s="861">
        <v>23036</v>
      </c>
      <c r="AO69" s="298">
        <f>MAX(AO60,AO59,AO56,AO55,AO54,AO51,AO50,AO49,AO47)</f>
        <v>38584</v>
      </c>
      <c r="AP69" s="298">
        <f>MAX(AP60,AP59,AP56,AP55,AP54,AP51,AP50,AP49,AP47)</f>
        <v>37436</v>
      </c>
      <c r="AQ69" s="297">
        <f t="shared" ref="AQ69:AV69" si="63">MAX(AQ60,AQ59,AQ56,AQ55,AQ54,AQ51,AQ50,AQ49,AQ47)</f>
        <v>36172</v>
      </c>
      <c r="AR69" s="297">
        <f t="shared" si="63"/>
        <v>34828</v>
      </c>
      <c r="AS69" s="297">
        <f t="shared" si="63"/>
        <v>32415</v>
      </c>
      <c r="AT69" s="297">
        <f t="shared" si="63"/>
        <v>30684</v>
      </c>
      <c r="AU69" s="296">
        <f t="shared" si="63"/>
        <v>29139</v>
      </c>
      <c r="AV69" s="296">
        <f t="shared" si="63"/>
        <v>27834</v>
      </c>
      <c r="AW69" s="861">
        <v>26404</v>
      </c>
      <c r="AX69" s="861">
        <v>25243</v>
      </c>
      <c r="AY69" s="861">
        <v>23030</v>
      </c>
    </row>
    <row r="70" spans="1:51" s="295" customFormat="1" x14ac:dyDescent="0.2">
      <c r="D70" s="296" t="s">
        <v>249</v>
      </c>
      <c r="E70" s="296">
        <f>MIN(E60,E59,E56,E55,E54,E51,E50,E49,E47)</f>
        <v>5400</v>
      </c>
      <c r="F70" s="296">
        <f>MIN(F60,F59,F56,F55,F54,F51,F50,F49,F47)</f>
        <v>5217</v>
      </c>
      <c r="G70" s="296">
        <f t="shared" ref="G70:L70" si="64">MIN(G60,G59,G56,G55,G54,G51,G50,G49,G47)</f>
        <v>5055</v>
      </c>
      <c r="H70" s="296">
        <f t="shared" si="64"/>
        <v>4892</v>
      </c>
      <c r="I70" s="296">
        <f t="shared" si="64"/>
        <v>4404</v>
      </c>
      <c r="J70" s="296">
        <f t="shared" si="64"/>
        <v>4278</v>
      </c>
      <c r="K70" s="296">
        <f t="shared" si="64"/>
        <v>4125</v>
      </c>
      <c r="L70" s="296">
        <f t="shared" si="64"/>
        <v>3927</v>
      </c>
      <c r="M70" s="861">
        <v>3726</v>
      </c>
      <c r="N70" s="861">
        <v>3621</v>
      </c>
      <c r="O70" s="861">
        <v>3554</v>
      </c>
      <c r="Q70" s="298">
        <f>MIN(Q60,Q59,Q56,Q55,Q54,Q51,Q50,Q49,Q47)</f>
        <v>5427</v>
      </c>
      <c r="R70" s="298">
        <f>MIN(R60,R59,R56,R55,R54,R51,R50,R49,R47)</f>
        <v>5244</v>
      </c>
      <c r="S70" s="297">
        <f t="shared" ref="S70:X70" si="65">MIN(S60,S59,S56,S55,S54,S51,S50,S49,S47)</f>
        <v>7004</v>
      </c>
      <c r="T70" s="297">
        <f t="shared" si="65"/>
        <v>6890</v>
      </c>
      <c r="U70" s="297">
        <f t="shared" si="65"/>
        <v>6204</v>
      </c>
      <c r="V70" s="297">
        <f t="shared" si="65"/>
        <v>6042</v>
      </c>
      <c r="W70" s="296">
        <f t="shared" si="65"/>
        <v>5853</v>
      </c>
      <c r="X70" s="296">
        <f t="shared" si="65"/>
        <v>5557</v>
      </c>
      <c r="Y70" s="861">
        <v>5204</v>
      </c>
      <c r="Z70" s="861">
        <v>4824</v>
      </c>
      <c r="AA70" s="861">
        <v>4557</v>
      </c>
      <c r="AC70" s="298">
        <f>MIN(AC60,AC59,AC56,AC55,AC54,AC51,AC50,AC49,AC47)</f>
        <v>17490</v>
      </c>
      <c r="AD70" s="298">
        <f>MIN(AD60,AD59,AD56,AD55,AD54,AD51,AD50,AD49,AD47)</f>
        <v>16827</v>
      </c>
      <c r="AE70" s="297">
        <f t="shared" ref="AE70:AJ70" si="66">MIN(AE60,AE59,AE56,AE55,AE54,AE51,AE50,AE49,AE47)</f>
        <v>16215</v>
      </c>
      <c r="AF70" s="297">
        <f t="shared" si="66"/>
        <v>15632</v>
      </c>
      <c r="AG70" s="297">
        <f t="shared" si="66"/>
        <v>14124</v>
      </c>
      <c r="AH70" s="297">
        <f t="shared" si="66"/>
        <v>13428</v>
      </c>
      <c r="AI70" s="296">
        <f t="shared" si="66"/>
        <v>12855</v>
      </c>
      <c r="AJ70" s="296">
        <f t="shared" si="66"/>
        <v>12237</v>
      </c>
      <c r="AK70" s="861">
        <v>11646</v>
      </c>
      <c r="AL70" s="861">
        <v>11031</v>
      </c>
      <c r="AM70" s="861">
        <v>10394</v>
      </c>
      <c r="AO70" s="298">
        <f>MIN(AO60,AO59,AO56,AO55,AO54,AO51,AO50,AO49,AO47)</f>
        <v>16738</v>
      </c>
      <c r="AP70" s="298">
        <f>MIN(AP60,AP59,AP56,AP55,AP54,AP51,AP50,AP49,AP47)</f>
        <v>16163</v>
      </c>
      <c r="AQ70" s="297">
        <f t="shared" ref="AQ70:AV70" si="67">MIN(AQ60,AQ59,AQ56,AQ55,AQ54,AQ51,AQ50,AQ49,AQ47)</f>
        <v>18639</v>
      </c>
      <c r="AR70" s="297">
        <f t="shared" si="67"/>
        <v>17954</v>
      </c>
      <c r="AS70" s="297">
        <f t="shared" si="67"/>
        <v>16260</v>
      </c>
      <c r="AT70" s="297">
        <f t="shared" si="67"/>
        <v>15474</v>
      </c>
      <c r="AU70" s="296">
        <f t="shared" si="67"/>
        <v>14829</v>
      </c>
      <c r="AV70" s="296">
        <f t="shared" si="67"/>
        <v>14133</v>
      </c>
      <c r="AW70" s="861">
        <v>13458</v>
      </c>
      <c r="AX70" s="861">
        <v>12753</v>
      </c>
      <c r="AY70" s="861">
        <v>12014</v>
      </c>
    </row>
    <row r="71" spans="1:51" s="295" customFormat="1" x14ac:dyDescent="0.2">
      <c r="D71" s="296" t="s">
        <v>248</v>
      </c>
      <c r="E71" s="296">
        <f>AVERAGE(E60,E59,E56,E55,E54,E51,E50,E49,E47)</f>
        <v>9050.8888888888887</v>
      </c>
      <c r="F71" s="296">
        <f>AVERAGE(F60,F59,F56,F55,F54,F51,F50,F49,F47)</f>
        <v>8729.2222222222226</v>
      </c>
      <c r="G71" s="296">
        <f t="shared" ref="G71:L71" si="68">AVERAGE(G60,G59,G56,G55,G54,G51,G50,G49,G47)</f>
        <v>8326</v>
      </c>
      <c r="H71" s="296">
        <f t="shared" si="68"/>
        <v>8099.7777777777774</v>
      </c>
      <c r="I71" s="296">
        <f t="shared" si="68"/>
        <v>7607</v>
      </c>
      <c r="J71" s="296">
        <f t="shared" si="68"/>
        <v>7394.1111111111113</v>
      </c>
      <c r="K71" s="296">
        <f t="shared" si="68"/>
        <v>6983.4444444444443</v>
      </c>
      <c r="L71" s="296">
        <f t="shared" si="68"/>
        <v>6408.4444444444443</v>
      </c>
      <c r="M71" s="861">
        <v>5841</v>
      </c>
      <c r="N71" s="861">
        <v>5375</v>
      </c>
      <c r="O71" s="861">
        <v>5370</v>
      </c>
      <c r="Q71" s="298">
        <f>AVERAGE(Q60,Q59,Q56,Q55,Q54,Q51,Q50,Q49,Q47)</f>
        <v>9228.5555555555547</v>
      </c>
      <c r="R71" s="298">
        <f>AVERAGE(R60,R59,R56,R55,R54,R51,R50,R49,R47)</f>
        <v>8883.5555555555547</v>
      </c>
      <c r="S71" s="297">
        <f t="shared" ref="S71:X71" si="69">AVERAGE(S60,S59,S56,S55,S54,S51,S50,S49,S47)</f>
        <v>8860.8888888888887</v>
      </c>
      <c r="T71" s="297">
        <f t="shared" si="69"/>
        <v>8680.4444444444453</v>
      </c>
      <c r="U71" s="297">
        <f t="shared" si="69"/>
        <v>8108.8888888888887</v>
      </c>
      <c r="V71" s="297">
        <f t="shared" si="69"/>
        <v>8214</v>
      </c>
      <c r="W71" s="296">
        <f t="shared" si="69"/>
        <v>7489.7777777777774</v>
      </c>
      <c r="X71" s="296">
        <f t="shared" si="69"/>
        <v>7004.7777777777774</v>
      </c>
      <c r="Y71" s="861">
        <v>6425</v>
      </c>
      <c r="Z71" s="861">
        <v>5952</v>
      </c>
      <c r="AA71" s="861">
        <v>5510</v>
      </c>
      <c r="AC71" s="298">
        <f>AVERAGE(AC60,AC59,AC56,AC55,AC54,AC51,AC50,AC49,AC47)</f>
        <v>24660.777777777777</v>
      </c>
      <c r="AD71" s="298">
        <f>AVERAGE(AD60,AD59,AD56,AD55,AD54,AD51,AD50,AD49,AD47)</f>
        <v>23857.333333333332</v>
      </c>
      <c r="AE71" s="297">
        <f t="shared" ref="AE71:AJ71" si="70">AVERAGE(AE60,AE59,AE56,AE55,AE54,AE51,AE50,AE49,AE47)</f>
        <v>22815.888888888891</v>
      </c>
      <c r="AF71" s="297">
        <f t="shared" si="70"/>
        <v>22199.111111111109</v>
      </c>
      <c r="AG71" s="297">
        <f t="shared" si="70"/>
        <v>20875.111111111109</v>
      </c>
      <c r="AH71" s="297">
        <f t="shared" si="70"/>
        <v>20328.555555555555</v>
      </c>
      <c r="AI71" s="296">
        <f t="shared" si="70"/>
        <v>19518.333333333332</v>
      </c>
      <c r="AJ71" s="296">
        <f t="shared" si="70"/>
        <v>18401.222222222223</v>
      </c>
      <c r="AK71" s="861">
        <v>16910</v>
      </c>
      <c r="AL71" s="861">
        <v>15881</v>
      </c>
      <c r="AM71" s="861">
        <v>14895</v>
      </c>
      <c r="AO71" s="298">
        <f>AVERAGE(AO60,AO59,AO56,AO55,AO54,AO51,AO50,AO49,AO47)</f>
        <v>24589.111111111109</v>
      </c>
      <c r="AP71" s="298">
        <f>AVERAGE(AP60,AP59,AP56,AP55,AP54,AP51,AP50,AP49,AP47)</f>
        <v>24879</v>
      </c>
      <c r="AQ71" s="297">
        <f t="shared" ref="AQ71:AV71" si="71">AVERAGE(AQ60,AQ59,AQ56,AQ55,AQ54,AQ51,AQ50,AQ49,AQ47)</f>
        <v>23927.191111111111</v>
      </c>
      <c r="AR71" s="297">
        <f t="shared" si="71"/>
        <v>23262</v>
      </c>
      <c r="AS71" s="297">
        <f t="shared" si="71"/>
        <v>21765.888888888891</v>
      </c>
      <c r="AT71" s="297">
        <f t="shared" si="71"/>
        <v>21508.555555555555</v>
      </c>
      <c r="AU71" s="296">
        <f t="shared" si="71"/>
        <v>20334.777777777777</v>
      </c>
      <c r="AV71" s="296">
        <f t="shared" si="71"/>
        <v>19258.666666666668</v>
      </c>
      <c r="AW71" s="861">
        <v>17839</v>
      </c>
      <c r="AX71" s="861">
        <v>16772</v>
      </c>
      <c r="AY71" s="861">
        <v>15800</v>
      </c>
    </row>
    <row r="72" spans="1:51" s="295" customFormat="1" x14ac:dyDescent="0.2">
      <c r="D72" s="296" t="s">
        <v>584</v>
      </c>
      <c r="E72" s="296">
        <f>RANK(E59,(E47,E49,E50,E51,E54,E55,E56,E59))</f>
        <v>6</v>
      </c>
      <c r="F72" s="296">
        <f>RANK(F59,(F47,F49,F50,F51,F54,F55,F56,F59))</f>
        <v>6</v>
      </c>
      <c r="G72" s="296">
        <f>RANK(G59,(G47,G49,G50,G51,G54,G55,G56,G59))</f>
        <v>6</v>
      </c>
      <c r="H72" s="296">
        <f>RANK(H59,(H47,H49,H50,H51,H54,H55,H56,H59))</f>
        <v>7</v>
      </c>
      <c r="I72" s="296">
        <f>RANK(I59,(I47,I49,I50,I51,I54,I55,I56,I59))</f>
        <v>7</v>
      </c>
      <c r="J72" s="296">
        <f>RANK(J59,(J47,J49,J50,J51,J54,J55,J56,J59))</f>
        <v>8</v>
      </c>
      <c r="K72" s="296">
        <v>8</v>
      </c>
      <c r="L72" s="296">
        <v>8</v>
      </c>
      <c r="M72" s="296">
        <v>8</v>
      </c>
      <c r="N72" s="296">
        <v>8</v>
      </c>
      <c r="O72" s="296">
        <v>7</v>
      </c>
      <c r="Q72" s="296">
        <f>RANK(Q59,(Q47,Q49,Q50,Q51,Q54,Q55,Q56,Q59))</f>
        <v>6</v>
      </c>
      <c r="R72" s="296">
        <f>RANK(R59,(R47,R49,R50,R51,R54,R55,R56,R59))</f>
        <v>7</v>
      </c>
      <c r="S72" s="296">
        <f>RANK(S59,(S47,S49,S50,S51,S54,S55,S56,S59))</f>
        <v>4</v>
      </c>
      <c r="T72" s="296">
        <f>RANK(T59,(T47,T49,T50,T51,T54,T55,T56,T59))</f>
        <v>4</v>
      </c>
      <c r="U72" s="296">
        <f>RANK(U59,(U47,U49,U50,U51,U54,U55,U56,U59))</f>
        <v>8</v>
      </c>
      <c r="V72" s="296">
        <f>RANK(V59,(V47,V49,V50,V51,V54,V55,V56,V59))</f>
        <v>8</v>
      </c>
      <c r="W72" s="296">
        <v>8</v>
      </c>
      <c r="X72" s="296">
        <v>9</v>
      </c>
      <c r="Y72" s="296">
        <v>9</v>
      </c>
      <c r="Z72" s="296">
        <v>9</v>
      </c>
      <c r="AA72" s="296">
        <v>9</v>
      </c>
      <c r="AC72" s="296">
        <f>RANK(AC59,(AC47,AC49,AC50,AC51,AC54,AC55,AC56,AC59))</f>
        <v>8</v>
      </c>
      <c r="AD72" s="296">
        <f>RANK(AD59,(AD47,AD49,AD50,AD51,AD54,AD55,AD56,AD59))</f>
        <v>8</v>
      </c>
      <c r="AE72" s="296">
        <f>RANK(AE59,(AE47,AE49,AE50,AE51,AE54,AE55,AE56,AE59))</f>
        <v>8</v>
      </c>
      <c r="AF72" s="296">
        <f>RANK(AF59,(AF47,AF49,AF50,AF51,AF54,AF55,AF56,AF59))</f>
        <v>8</v>
      </c>
      <c r="AG72" s="296">
        <f>RANK(AG59,(AG47,AG49,AG50,AG51,AG54,AG55,AG56,AG59))</f>
        <v>8</v>
      </c>
      <c r="AH72" s="296">
        <f>RANK(AH59,(AH47,AH49,AH50,AH51,AH54,AH55,AH56,AH59))</f>
        <v>8</v>
      </c>
      <c r="AI72" s="296">
        <v>8</v>
      </c>
      <c r="AJ72" s="296">
        <v>8</v>
      </c>
      <c r="AK72" s="296">
        <v>8</v>
      </c>
      <c r="AL72" s="296">
        <v>8</v>
      </c>
      <c r="AM72" s="296">
        <v>8</v>
      </c>
      <c r="AO72" s="296">
        <f>RANK(AO59,(AO47,AO49,AO50,AO51,AO54,AO55,AO56,AO59))</f>
        <v>5</v>
      </c>
      <c r="AP72" s="296">
        <f>RANK(AP59,(AP47,AP49,AP50,AP51,AP54,AP55,AP56,AP59))</f>
        <v>5</v>
      </c>
      <c r="AQ72" s="296">
        <f>RANK(AQ59,(AQ47,AQ49,AQ50,AQ51,AQ54,AQ55,AQ56,AQ59))</f>
        <v>3</v>
      </c>
      <c r="AR72" s="296">
        <f>RANK(AR59,(AR47,AR49,AR50,AR51,AR54,AR55,AR56,AR59))</f>
        <v>3</v>
      </c>
      <c r="AS72" s="296">
        <f>RANK(AS59,(AS47,AS49,AS50,AS51,AS54,AS55,AS56,AS59))</f>
        <v>3</v>
      </c>
      <c r="AT72" s="296">
        <f>RANK(AT59,(AT47,AT49,AT50,AT51,AT54,AT55,AT56,AT59))</f>
        <v>5</v>
      </c>
      <c r="AU72" s="296">
        <v>6</v>
      </c>
      <c r="AV72" s="296">
        <v>7</v>
      </c>
      <c r="AW72" s="296">
        <v>6</v>
      </c>
      <c r="AX72" s="296">
        <v>6</v>
      </c>
      <c r="AY72" s="296">
        <v>8</v>
      </c>
    </row>
    <row r="74" spans="1:51" x14ac:dyDescent="0.2">
      <c r="E74" s="1057" t="s">
        <v>536</v>
      </c>
      <c r="F74" s="1057"/>
      <c r="G74" s="319"/>
      <c r="H74" s="319"/>
      <c r="I74" s="319"/>
      <c r="J74" s="319"/>
      <c r="K74" s="319"/>
      <c r="L74" s="319"/>
      <c r="M74" s="319"/>
      <c r="N74" s="319"/>
      <c r="O74" s="319"/>
      <c r="Q74" s="1057" t="s">
        <v>571</v>
      </c>
      <c r="R74" s="1057"/>
      <c r="S74" s="319"/>
      <c r="T74" s="319"/>
      <c r="U74" s="319"/>
      <c r="V74" s="319"/>
      <c r="W74" s="319"/>
      <c r="X74" s="319"/>
      <c r="Y74" s="319"/>
      <c r="Z74" s="319"/>
      <c r="AA74" s="319"/>
      <c r="AC74" s="1057" t="s">
        <v>535</v>
      </c>
      <c r="AD74" s="1057"/>
      <c r="AE74" s="319"/>
      <c r="AF74" s="319"/>
      <c r="AG74" s="319"/>
      <c r="AH74" s="319"/>
      <c r="AI74" s="319"/>
      <c r="AJ74" s="319"/>
      <c r="AK74" s="319"/>
      <c r="AL74" s="319"/>
      <c r="AM74" s="319"/>
      <c r="AO74" s="1057" t="s">
        <v>570</v>
      </c>
      <c r="AP74" s="1057"/>
      <c r="AQ74" s="1057"/>
      <c r="AR74" s="1057"/>
      <c r="AS74" s="1057"/>
      <c r="AT74" s="1057"/>
      <c r="AU74" s="1057"/>
      <c r="AV74" s="1057"/>
      <c r="AW74" s="1057"/>
      <c r="AX74" s="1057"/>
      <c r="AY74" s="1057"/>
    </row>
    <row r="75" spans="1:51" x14ac:dyDescent="0.2">
      <c r="A75" s="318"/>
      <c r="B75" s="318"/>
      <c r="C75" s="318"/>
      <c r="D75" s="318" t="s">
        <v>583</v>
      </c>
      <c r="E75" s="315" t="s">
        <v>533</v>
      </c>
      <c r="F75" s="315" t="s">
        <v>236</v>
      </c>
      <c r="G75" s="315" t="s">
        <v>229</v>
      </c>
      <c r="H75" s="315" t="s">
        <v>224</v>
      </c>
      <c r="I75" s="315" t="s">
        <v>154</v>
      </c>
      <c r="J75" s="315" t="s">
        <v>146</v>
      </c>
      <c r="K75" s="315" t="s">
        <v>104</v>
      </c>
      <c r="L75" s="315" t="s">
        <v>103</v>
      </c>
      <c r="M75" s="315" t="s">
        <v>102</v>
      </c>
      <c r="N75" s="315" t="s">
        <v>101</v>
      </c>
      <c r="O75" s="315" t="s">
        <v>100</v>
      </c>
      <c r="Q75" s="315" t="s">
        <v>533</v>
      </c>
      <c r="R75" s="315" t="s">
        <v>236</v>
      </c>
      <c r="S75" s="315" t="s">
        <v>229</v>
      </c>
      <c r="T75" s="315" t="s">
        <v>224</v>
      </c>
      <c r="U75" s="315" t="s">
        <v>154</v>
      </c>
      <c r="V75" s="315" t="s">
        <v>146</v>
      </c>
      <c r="W75" s="315" t="s">
        <v>104</v>
      </c>
      <c r="X75" s="315" t="s">
        <v>103</v>
      </c>
      <c r="Y75" s="315" t="s">
        <v>102</v>
      </c>
      <c r="Z75" s="315" t="s">
        <v>101</v>
      </c>
      <c r="AA75" s="315" t="s">
        <v>100</v>
      </c>
      <c r="AB75" s="316"/>
      <c r="AC75" s="315" t="s">
        <v>533</v>
      </c>
      <c r="AD75" s="315" t="s">
        <v>236</v>
      </c>
      <c r="AE75" s="315" t="s">
        <v>229</v>
      </c>
      <c r="AF75" s="315" t="s">
        <v>224</v>
      </c>
      <c r="AG75" s="315" t="s">
        <v>154</v>
      </c>
      <c r="AH75" s="315" t="s">
        <v>146</v>
      </c>
      <c r="AI75" s="315" t="s">
        <v>104</v>
      </c>
      <c r="AJ75" s="315" t="s">
        <v>103</v>
      </c>
      <c r="AK75" s="315" t="s">
        <v>102</v>
      </c>
      <c r="AL75" s="315" t="s">
        <v>101</v>
      </c>
      <c r="AM75" s="315" t="s">
        <v>100</v>
      </c>
      <c r="AN75" s="316"/>
      <c r="AO75" s="315" t="s">
        <v>533</v>
      </c>
      <c r="AP75" s="315" t="s">
        <v>236</v>
      </c>
      <c r="AQ75" s="315" t="s">
        <v>229</v>
      </c>
      <c r="AR75" s="315" t="s">
        <v>224</v>
      </c>
      <c r="AS75" s="315" t="s">
        <v>154</v>
      </c>
      <c r="AT75" s="315" t="s">
        <v>146</v>
      </c>
      <c r="AU75" s="315" t="s">
        <v>104</v>
      </c>
      <c r="AV75" s="315" t="s">
        <v>103</v>
      </c>
      <c r="AW75" s="315" t="s">
        <v>102</v>
      </c>
      <c r="AX75" s="315" t="s">
        <v>101</v>
      </c>
      <c r="AY75" s="315" t="s">
        <v>100</v>
      </c>
    </row>
    <row r="76" spans="1:51" x14ac:dyDescent="0.2">
      <c r="A76" s="294" t="s">
        <v>263</v>
      </c>
      <c r="B76" s="294" t="s">
        <v>262</v>
      </c>
      <c r="C76" s="294" t="s">
        <v>513</v>
      </c>
      <c r="D76" s="294" t="s">
        <v>582</v>
      </c>
      <c r="E76" s="294">
        <v>10822</v>
      </c>
      <c r="F76" s="294">
        <v>10792</v>
      </c>
      <c r="G76" s="294">
        <v>10640</v>
      </c>
      <c r="H76" s="294">
        <v>10478</v>
      </c>
      <c r="I76" s="294">
        <v>10002</v>
      </c>
      <c r="J76" s="294">
        <v>9720</v>
      </c>
      <c r="K76" s="294">
        <v>9716</v>
      </c>
      <c r="L76" s="294">
        <v>8128</v>
      </c>
      <c r="M76" s="294">
        <v>6840</v>
      </c>
      <c r="N76" s="294">
        <v>5659</v>
      </c>
      <c r="O76" s="294">
        <v>4766</v>
      </c>
      <c r="Q76" s="322">
        <v>12114</v>
      </c>
      <c r="R76" s="322">
        <v>11918</v>
      </c>
      <c r="S76" s="322">
        <v>11756</v>
      </c>
      <c r="T76" s="322">
        <v>11604</v>
      </c>
      <c r="U76" s="324">
        <v>10818</v>
      </c>
      <c r="V76" s="324">
        <v>10512</v>
      </c>
      <c r="W76" s="324">
        <v>10217</v>
      </c>
      <c r="X76" s="324">
        <v>8844</v>
      </c>
      <c r="Y76" s="324">
        <v>7971</v>
      </c>
      <c r="Z76" s="324">
        <v>7037</v>
      </c>
      <c r="AA76" s="324">
        <v>6373</v>
      </c>
      <c r="AB76" s="324"/>
      <c r="AC76" s="299">
        <v>28336</v>
      </c>
      <c r="AD76" s="299">
        <v>27372</v>
      </c>
      <c r="AE76" s="299">
        <v>26470</v>
      </c>
      <c r="AF76" s="299">
        <v>25458</v>
      </c>
      <c r="AG76" s="324">
        <v>23654</v>
      </c>
      <c r="AH76" s="324">
        <v>22973</v>
      </c>
      <c r="AI76" s="324">
        <v>22315</v>
      </c>
      <c r="AJ76" s="324">
        <v>20592</v>
      </c>
      <c r="AK76" s="324">
        <v>19625</v>
      </c>
      <c r="AL76" s="324">
        <v>17945</v>
      </c>
      <c r="AM76" s="324">
        <v>16999</v>
      </c>
      <c r="AN76" s="324"/>
      <c r="AO76" s="322">
        <v>30906</v>
      </c>
      <c r="AP76" s="322">
        <v>29854</v>
      </c>
      <c r="AQ76" s="322">
        <v>28862</v>
      </c>
      <c r="AR76" s="322">
        <v>27760</v>
      </c>
      <c r="AS76" s="294">
        <v>25804</v>
      </c>
      <c r="AT76" s="294">
        <v>25062</v>
      </c>
      <c r="AU76" s="294">
        <v>24341</v>
      </c>
      <c r="AV76" s="294">
        <v>22393</v>
      </c>
      <c r="AW76" s="294">
        <v>21365</v>
      </c>
      <c r="AX76" s="294">
        <v>19602</v>
      </c>
      <c r="AY76" s="294">
        <v>18066</v>
      </c>
    </row>
    <row r="77" spans="1:51" x14ac:dyDescent="0.2">
      <c r="A77" s="294" t="s">
        <v>263</v>
      </c>
      <c r="C77" s="294" t="s">
        <v>401</v>
      </c>
      <c r="D77" s="294" t="s">
        <v>581</v>
      </c>
      <c r="E77" s="294">
        <v>7713</v>
      </c>
      <c r="F77" s="294">
        <v>7653</v>
      </c>
      <c r="G77" s="294">
        <v>7383</v>
      </c>
      <c r="H77" s="294">
        <v>7269</v>
      </c>
      <c r="I77" s="294">
        <v>7069</v>
      </c>
      <c r="J77" s="294">
        <v>6867</v>
      </c>
      <c r="K77" s="294">
        <v>6596</v>
      </c>
      <c r="L77" s="294">
        <v>5044</v>
      </c>
      <c r="M77" s="294">
        <v>4628</v>
      </c>
      <c r="N77" s="294">
        <v>3650</v>
      </c>
      <c r="O77" s="294">
        <v>3374</v>
      </c>
      <c r="Q77" s="322">
        <v>9147</v>
      </c>
      <c r="R77" s="322">
        <v>9087</v>
      </c>
      <c r="S77" s="322">
        <v>8649</v>
      </c>
      <c r="T77" s="322">
        <v>8535</v>
      </c>
      <c r="U77" s="324">
        <v>8335</v>
      </c>
      <c r="V77" s="324">
        <v>8133</v>
      </c>
      <c r="W77" s="324">
        <v>7862</v>
      </c>
      <c r="X77" s="324">
        <v>6028</v>
      </c>
      <c r="Y77" s="324">
        <v>5564</v>
      </c>
      <c r="Z77" s="324">
        <v>4358</v>
      </c>
      <c r="AA77" s="324">
        <v>4016</v>
      </c>
      <c r="AB77" s="324"/>
      <c r="AC77" s="299">
        <v>19593</v>
      </c>
      <c r="AD77" s="299">
        <v>19533</v>
      </c>
      <c r="AE77" s="299">
        <v>18543</v>
      </c>
      <c r="AF77" s="299">
        <v>18429</v>
      </c>
      <c r="AG77" s="324">
        <v>18229</v>
      </c>
      <c r="AH77" s="324">
        <v>18027</v>
      </c>
      <c r="AI77" s="324">
        <v>17756</v>
      </c>
      <c r="AJ77" s="324">
        <v>16204</v>
      </c>
      <c r="AK77" s="324">
        <v>15788</v>
      </c>
      <c r="AL77" s="324">
        <v>13820</v>
      </c>
      <c r="AM77" s="324">
        <v>13544</v>
      </c>
      <c r="AN77" s="324"/>
      <c r="AO77" s="322">
        <v>18651</v>
      </c>
      <c r="AP77" s="322">
        <v>18591</v>
      </c>
      <c r="AQ77" s="322">
        <v>17577</v>
      </c>
      <c r="AR77" s="322">
        <v>17463</v>
      </c>
      <c r="AS77" s="294">
        <v>19495</v>
      </c>
      <c r="AT77" s="294">
        <v>19293</v>
      </c>
      <c r="AU77" s="294">
        <v>16790</v>
      </c>
      <c r="AV77" s="294">
        <v>14956</v>
      </c>
      <c r="AW77" s="294">
        <v>16724</v>
      </c>
      <c r="AX77" s="294">
        <v>14528</v>
      </c>
      <c r="AY77" s="294">
        <v>14186</v>
      </c>
    </row>
    <row r="78" spans="1:51" x14ac:dyDescent="0.2">
      <c r="A78" s="294" t="s">
        <v>263</v>
      </c>
      <c r="C78" s="294" t="s">
        <v>401</v>
      </c>
      <c r="D78" s="294" t="s">
        <v>580</v>
      </c>
      <c r="E78" s="294">
        <v>7072</v>
      </c>
      <c r="F78" s="294">
        <v>7038</v>
      </c>
      <c r="G78" s="294">
        <v>6728</v>
      </c>
      <c r="H78" s="294">
        <v>6704</v>
      </c>
      <c r="I78" s="294">
        <v>6664</v>
      </c>
      <c r="J78" s="294">
        <v>6626</v>
      </c>
      <c r="K78" s="294">
        <v>6582</v>
      </c>
      <c r="L78" s="294">
        <v>5302</v>
      </c>
      <c r="M78" s="294">
        <v>4840</v>
      </c>
      <c r="N78" s="294">
        <v>3819</v>
      </c>
      <c r="O78" s="294">
        <v>3330</v>
      </c>
      <c r="Q78" s="322">
        <v>8506</v>
      </c>
      <c r="R78" s="322">
        <v>8472</v>
      </c>
      <c r="S78" s="322">
        <v>7994</v>
      </c>
      <c r="T78" s="322">
        <v>7970</v>
      </c>
      <c r="U78" s="324">
        <v>7930</v>
      </c>
      <c r="V78" s="324">
        <v>7892</v>
      </c>
      <c r="W78" s="324">
        <v>7848</v>
      </c>
      <c r="X78" s="324">
        <v>6286</v>
      </c>
      <c r="Y78" s="324">
        <v>5776</v>
      </c>
      <c r="Z78" s="324">
        <v>4527</v>
      </c>
      <c r="AA78" s="324">
        <v>3972</v>
      </c>
      <c r="AB78" s="324"/>
      <c r="AC78" s="299">
        <v>18952</v>
      </c>
      <c r="AD78" s="299">
        <v>18918</v>
      </c>
      <c r="AE78" s="299">
        <v>17888</v>
      </c>
      <c r="AF78" s="299">
        <v>17864</v>
      </c>
      <c r="AG78" s="324">
        <v>17824</v>
      </c>
      <c r="AH78" s="324">
        <v>17786</v>
      </c>
      <c r="AI78" s="324">
        <v>17742</v>
      </c>
      <c r="AJ78" s="324">
        <v>16462</v>
      </c>
      <c r="AK78" s="324">
        <v>16000</v>
      </c>
      <c r="AL78" s="324">
        <v>13989</v>
      </c>
      <c r="AM78" s="324">
        <v>13500</v>
      </c>
      <c r="AN78" s="324"/>
      <c r="AO78" s="322">
        <v>18010</v>
      </c>
      <c r="AP78" s="322">
        <v>17976</v>
      </c>
      <c r="AQ78" s="322">
        <v>16922</v>
      </c>
      <c r="AR78" s="322">
        <v>16898</v>
      </c>
      <c r="AS78" s="294">
        <v>19090</v>
      </c>
      <c r="AT78" s="294">
        <v>19052</v>
      </c>
      <c r="AU78" s="294">
        <v>16776</v>
      </c>
      <c r="AV78" s="294">
        <v>15214</v>
      </c>
      <c r="AW78" s="294">
        <v>16936</v>
      </c>
      <c r="AX78" s="294">
        <v>14697</v>
      </c>
      <c r="AY78" s="294">
        <v>14142</v>
      </c>
    </row>
    <row r="79" spans="1:51" x14ac:dyDescent="0.2">
      <c r="A79" s="294" t="s">
        <v>263</v>
      </c>
      <c r="C79" s="294" t="s">
        <v>401</v>
      </c>
      <c r="D79" s="294" t="s">
        <v>579</v>
      </c>
      <c r="E79" s="294">
        <v>7675</v>
      </c>
      <c r="F79" s="294">
        <v>7493</v>
      </c>
      <c r="G79" s="294">
        <v>7209</v>
      </c>
      <c r="H79" s="294">
        <v>7195</v>
      </c>
      <c r="I79" s="294">
        <v>7144</v>
      </c>
      <c r="J79" s="294">
        <v>7130</v>
      </c>
      <c r="K79" s="294">
        <v>7062</v>
      </c>
      <c r="L79" s="294">
        <v>5750</v>
      </c>
      <c r="M79" s="294">
        <v>5166</v>
      </c>
      <c r="N79" s="294">
        <v>4148</v>
      </c>
      <c r="O79" s="294">
        <v>3843</v>
      </c>
      <c r="Q79" s="322">
        <v>9109</v>
      </c>
      <c r="R79" s="322">
        <v>8927</v>
      </c>
      <c r="S79" s="322">
        <v>8475</v>
      </c>
      <c r="T79" s="322">
        <v>8461</v>
      </c>
      <c r="U79" s="324">
        <v>8410</v>
      </c>
      <c r="V79" s="324">
        <v>8396</v>
      </c>
      <c r="W79" s="324">
        <v>8328</v>
      </c>
      <c r="X79" s="324">
        <v>6734</v>
      </c>
      <c r="Y79" s="324">
        <v>6102</v>
      </c>
      <c r="Z79" s="324">
        <v>4856</v>
      </c>
      <c r="AA79" s="324">
        <v>4485</v>
      </c>
      <c r="AB79" s="324"/>
      <c r="AC79" s="299">
        <v>19555</v>
      </c>
      <c r="AD79" s="299">
        <v>19373</v>
      </c>
      <c r="AE79" s="299">
        <v>18369</v>
      </c>
      <c r="AF79" s="299">
        <v>18355</v>
      </c>
      <c r="AG79" s="324">
        <v>18304</v>
      </c>
      <c r="AH79" s="324">
        <v>18290</v>
      </c>
      <c r="AI79" s="324">
        <v>18222</v>
      </c>
      <c r="AJ79" s="324">
        <v>16910</v>
      </c>
      <c r="AK79" s="324">
        <v>16326</v>
      </c>
      <c r="AL79" s="324">
        <v>14318</v>
      </c>
      <c r="AM79" s="324">
        <v>14013</v>
      </c>
      <c r="AN79" s="324"/>
      <c r="AO79" s="322">
        <v>18613</v>
      </c>
      <c r="AP79" s="322">
        <v>18431</v>
      </c>
      <c r="AQ79" s="322">
        <v>17403</v>
      </c>
      <c r="AR79" s="322">
        <v>17389</v>
      </c>
      <c r="AS79" s="294">
        <v>19570</v>
      </c>
      <c r="AT79" s="294">
        <v>19556</v>
      </c>
      <c r="AU79" s="294">
        <v>17256</v>
      </c>
      <c r="AV79" s="294">
        <v>15662</v>
      </c>
      <c r="AW79" s="294">
        <v>17262</v>
      </c>
      <c r="AX79" s="294">
        <v>15026</v>
      </c>
      <c r="AY79" s="294">
        <v>14655</v>
      </c>
    </row>
    <row r="80" spans="1:51" x14ac:dyDescent="0.2">
      <c r="A80" s="294" t="s">
        <v>263</v>
      </c>
      <c r="B80" s="294" t="s">
        <v>262</v>
      </c>
      <c r="C80" s="294" t="s">
        <v>363</v>
      </c>
      <c r="D80" s="313" t="s">
        <v>578</v>
      </c>
      <c r="E80" s="313">
        <v>7277</v>
      </c>
      <c r="F80" s="313">
        <v>7079</v>
      </c>
      <c r="G80" s="313">
        <v>6887</v>
      </c>
      <c r="H80" s="313">
        <v>6849</v>
      </c>
      <c r="I80" s="313">
        <v>6752</v>
      </c>
      <c r="J80" s="313">
        <v>6705</v>
      </c>
      <c r="K80" s="313">
        <v>6428</v>
      </c>
      <c r="L80" s="294">
        <v>5242</v>
      </c>
      <c r="M80" s="294">
        <v>5207</v>
      </c>
      <c r="N80" s="294">
        <v>5172</v>
      </c>
      <c r="O80" s="294">
        <v>5132</v>
      </c>
      <c r="Q80" s="322">
        <v>8408</v>
      </c>
      <c r="R80" s="322">
        <v>8177</v>
      </c>
      <c r="S80" s="322">
        <v>7953</v>
      </c>
      <c r="T80" s="322">
        <v>7915</v>
      </c>
      <c r="U80" s="328">
        <v>7818</v>
      </c>
      <c r="V80" s="328">
        <v>7771</v>
      </c>
      <c r="W80" s="328">
        <v>7443</v>
      </c>
      <c r="X80" s="324">
        <v>6040</v>
      </c>
      <c r="Y80" s="324">
        <v>6005</v>
      </c>
      <c r="Z80" s="324">
        <v>5970</v>
      </c>
      <c r="AA80" s="324">
        <v>5930</v>
      </c>
      <c r="AB80" s="324"/>
      <c r="AC80" s="299">
        <v>24993</v>
      </c>
      <c r="AD80" s="299">
        <v>24071</v>
      </c>
      <c r="AE80" s="299">
        <v>23186</v>
      </c>
      <c r="AF80" s="299">
        <v>22081</v>
      </c>
      <c r="AG80" s="324">
        <v>20717</v>
      </c>
      <c r="AH80" s="324">
        <v>20062</v>
      </c>
      <c r="AI80" s="328">
        <v>19152</v>
      </c>
      <c r="AJ80" s="324">
        <v>15235</v>
      </c>
      <c r="AK80" s="324">
        <v>14688</v>
      </c>
      <c r="AL80" s="324">
        <v>14086</v>
      </c>
      <c r="AM80" s="324">
        <v>13708</v>
      </c>
      <c r="AN80" s="324"/>
      <c r="AO80" s="322">
        <v>26123</v>
      </c>
      <c r="AP80" s="322">
        <v>25169</v>
      </c>
      <c r="AQ80" s="322">
        <v>24251</v>
      </c>
      <c r="AR80" s="322">
        <v>23146</v>
      </c>
      <c r="AS80" s="313">
        <v>21782</v>
      </c>
      <c r="AT80" s="313">
        <v>21127</v>
      </c>
      <c r="AU80" s="313">
        <v>20168</v>
      </c>
      <c r="AV80" s="294">
        <v>16033</v>
      </c>
      <c r="AW80" s="294">
        <v>15446</v>
      </c>
      <c r="AX80" s="294">
        <v>14884</v>
      </c>
      <c r="AY80" s="294">
        <v>14505</v>
      </c>
    </row>
    <row r="81" spans="1:51" x14ac:dyDescent="0.2">
      <c r="A81" s="294" t="s">
        <v>263</v>
      </c>
      <c r="B81" s="294" t="s">
        <v>262</v>
      </c>
      <c r="C81" s="294" t="s">
        <v>338</v>
      </c>
      <c r="D81" s="294" t="s">
        <v>577</v>
      </c>
      <c r="E81" s="294">
        <v>7770</v>
      </c>
      <c r="F81" s="294">
        <v>7183</v>
      </c>
      <c r="G81" s="294">
        <v>6891</v>
      </c>
      <c r="H81" s="294">
        <v>6613</v>
      </c>
      <c r="I81" s="294">
        <v>5708</v>
      </c>
      <c r="J81" s="294">
        <v>5873</v>
      </c>
      <c r="K81" s="294">
        <v>5286</v>
      </c>
      <c r="L81" s="294">
        <v>4942</v>
      </c>
      <c r="M81" s="294">
        <v>4607</v>
      </c>
      <c r="N81" s="294">
        <v>4353</v>
      </c>
      <c r="O81" s="294">
        <v>4074</v>
      </c>
      <c r="Q81" s="327">
        <v>8036</v>
      </c>
      <c r="R81" s="327">
        <v>7436</v>
      </c>
      <c r="S81" s="327">
        <v>7131</v>
      </c>
      <c r="T81" s="327">
        <v>6861</v>
      </c>
      <c r="U81" s="324">
        <v>5932</v>
      </c>
      <c r="V81" s="324">
        <v>6525</v>
      </c>
      <c r="W81" s="324">
        <v>5492</v>
      </c>
      <c r="X81" s="324">
        <v>5133</v>
      </c>
      <c r="Y81" s="324">
        <v>4784</v>
      </c>
      <c r="Z81" s="324">
        <v>4521</v>
      </c>
      <c r="AA81" s="324">
        <v>4231</v>
      </c>
      <c r="AB81" s="324"/>
      <c r="AC81" s="325">
        <v>22268</v>
      </c>
      <c r="AD81" s="325">
        <v>20991</v>
      </c>
      <c r="AE81" s="325">
        <v>19137</v>
      </c>
      <c r="AF81" s="325">
        <v>19137</v>
      </c>
      <c r="AG81" s="324">
        <v>17067</v>
      </c>
      <c r="AH81" s="324">
        <v>17613</v>
      </c>
      <c r="AI81" s="324">
        <v>15738</v>
      </c>
      <c r="AJ81" s="324">
        <v>14620</v>
      </c>
      <c r="AK81" s="324">
        <v>13568</v>
      </c>
      <c r="AL81" s="324">
        <v>12545</v>
      </c>
      <c r="AM81" s="324">
        <v>11730</v>
      </c>
      <c r="AN81" s="324"/>
      <c r="AO81" s="327">
        <v>23560</v>
      </c>
      <c r="AP81" s="327">
        <v>22220</v>
      </c>
      <c r="AQ81" s="327">
        <v>21200</v>
      </c>
      <c r="AR81" s="327">
        <v>20270</v>
      </c>
      <c r="AS81" s="294">
        <v>18093</v>
      </c>
      <c r="AT81" s="294">
        <v>19095</v>
      </c>
      <c r="AU81" s="294">
        <v>16684</v>
      </c>
      <c r="AV81" s="294">
        <v>15495</v>
      </c>
      <c r="AW81" s="294">
        <v>14379</v>
      </c>
      <c r="AX81" s="294">
        <v>13296</v>
      </c>
      <c r="AY81" s="294">
        <v>12432</v>
      </c>
    </row>
    <row r="82" spans="1:51" x14ac:dyDescent="0.2">
      <c r="A82" s="294" t="s">
        <v>263</v>
      </c>
      <c r="B82" s="294" t="s">
        <v>262</v>
      </c>
      <c r="C82" s="294" t="s">
        <v>338</v>
      </c>
      <c r="D82" s="294" t="s">
        <v>576</v>
      </c>
      <c r="E82" s="294">
        <v>6824</v>
      </c>
      <c r="F82" s="294">
        <v>6824</v>
      </c>
      <c r="G82" s="294">
        <v>6644</v>
      </c>
      <c r="H82" s="294">
        <v>6418</v>
      </c>
      <c r="I82" s="294">
        <v>4723</v>
      </c>
      <c r="J82" s="294">
        <v>4314</v>
      </c>
      <c r="K82" s="294">
        <v>4030</v>
      </c>
      <c r="L82" s="294">
        <v>3810</v>
      </c>
      <c r="M82" s="294">
        <v>3589</v>
      </c>
      <c r="N82" s="294">
        <v>3431</v>
      </c>
      <c r="O82" s="294">
        <v>3222</v>
      </c>
      <c r="Q82" s="327">
        <v>7969</v>
      </c>
      <c r="R82" s="327">
        <v>7969</v>
      </c>
      <c r="S82" s="327">
        <v>7745</v>
      </c>
      <c r="T82" s="327">
        <v>7498</v>
      </c>
      <c r="U82" s="324">
        <v>4988</v>
      </c>
      <c r="V82" s="324">
        <v>4566</v>
      </c>
      <c r="W82" s="324">
        <v>4270</v>
      </c>
      <c r="X82" s="324">
        <v>4026</v>
      </c>
      <c r="Y82" s="324">
        <v>3781</v>
      </c>
      <c r="Z82" s="324">
        <v>3623</v>
      </c>
      <c r="AA82" s="324">
        <v>3390</v>
      </c>
      <c r="AB82" s="324"/>
      <c r="AC82" s="325">
        <v>15231</v>
      </c>
      <c r="AD82" s="325">
        <v>15231</v>
      </c>
      <c r="AE82" s="325">
        <v>15261</v>
      </c>
      <c r="AF82" s="325">
        <v>15035</v>
      </c>
      <c r="AG82" s="324">
        <v>12763</v>
      </c>
      <c r="AH82" s="324">
        <v>12514</v>
      </c>
      <c r="AI82" s="324">
        <v>13414</v>
      </c>
      <c r="AJ82" s="324">
        <v>13410</v>
      </c>
      <c r="AK82" s="324">
        <v>12805</v>
      </c>
      <c r="AL82" s="324">
        <v>12719</v>
      </c>
      <c r="AM82" s="324">
        <v>11886</v>
      </c>
      <c r="AN82" s="324"/>
      <c r="AO82" s="327">
        <v>17224</v>
      </c>
      <c r="AP82" s="327">
        <v>17224</v>
      </c>
      <c r="AQ82" s="327">
        <v>17257</v>
      </c>
      <c r="AR82" s="327">
        <v>17005</v>
      </c>
      <c r="AS82" s="294">
        <v>13003</v>
      </c>
      <c r="AT82" s="294">
        <v>12754</v>
      </c>
      <c r="AU82" s="294">
        <v>13630</v>
      </c>
      <c r="AV82" s="294">
        <v>13626</v>
      </c>
      <c r="AW82" s="294">
        <v>12997</v>
      </c>
      <c r="AX82" s="294">
        <v>12911</v>
      </c>
      <c r="AY82" s="294">
        <v>12078</v>
      </c>
    </row>
    <row r="83" spans="1:51" x14ac:dyDescent="0.2">
      <c r="A83" s="294" t="s">
        <v>263</v>
      </c>
      <c r="C83" s="294" t="s">
        <v>315</v>
      </c>
      <c r="D83" s="294" t="s">
        <v>575</v>
      </c>
      <c r="E83" s="294">
        <v>8679</v>
      </c>
      <c r="F83" s="294">
        <v>8362</v>
      </c>
      <c r="G83" s="294">
        <v>8004</v>
      </c>
      <c r="H83" s="294">
        <v>7757</v>
      </c>
      <c r="I83" s="294">
        <v>7530</v>
      </c>
      <c r="J83" s="294">
        <v>7239</v>
      </c>
      <c r="K83" s="294">
        <v>7046</v>
      </c>
      <c r="L83" s="294">
        <v>6639</v>
      </c>
      <c r="M83" s="294">
        <v>6456</v>
      </c>
      <c r="N83" s="294">
        <v>6240</v>
      </c>
      <c r="O83" s="294">
        <v>6072</v>
      </c>
      <c r="Q83" s="322">
        <v>14448</v>
      </c>
      <c r="R83" s="322">
        <v>13944</v>
      </c>
      <c r="S83" s="322">
        <v>13242</v>
      </c>
      <c r="T83" s="322">
        <v>12810</v>
      </c>
      <c r="U83" s="324">
        <v>11733</v>
      </c>
      <c r="V83" s="324">
        <v>11148</v>
      </c>
      <c r="W83" s="324">
        <v>10803</v>
      </c>
      <c r="X83" s="324">
        <v>10383</v>
      </c>
      <c r="Y83" s="324">
        <v>10221</v>
      </c>
      <c r="Z83" s="324">
        <v>9846</v>
      </c>
      <c r="AA83" s="324">
        <v>9609</v>
      </c>
      <c r="AB83" s="324"/>
      <c r="AC83" s="299">
        <v>20739</v>
      </c>
      <c r="AD83" s="299">
        <v>19682</v>
      </c>
      <c r="AE83" s="299">
        <v>18647</v>
      </c>
      <c r="AF83" s="299">
        <v>17994</v>
      </c>
      <c r="AG83" s="324">
        <v>16744</v>
      </c>
      <c r="AH83" s="324">
        <v>15720</v>
      </c>
      <c r="AI83" s="324">
        <v>7046</v>
      </c>
      <c r="AJ83" s="324">
        <v>6639</v>
      </c>
      <c r="AK83" s="324">
        <v>6456</v>
      </c>
      <c r="AL83" s="324">
        <v>6240</v>
      </c>
      <c r="AM83" s="324">
        <v>6072</v>
      </c>
      <c r="AN83" s="324"/>
      <c r="AO83" s="322">
        <v>17814</v>
      </c>
      <c r="AP83" s="322">
        <v>17202</v>
      </c>
      <c r="AQ83" s="322">
        <v>16320</v>
      </c>
      <c r="AR83" s="322">
        <v>15762</v>
      </c>
      <c r="AS83" s="294">
        <v>14640</v>
      </c>
      <c r="AT83" s="294">
        <v>13920</v>
      </c>
      <c r="AU83" s="294">
        <v>10803</v>
      </c>
      <c r="AV83" s="294">
        <v>10383</v>
      </c>
      <c r="AW83" s="294">
        <v>10221</v>
      </c>
      <c r="AX83" s="294">
        <v>9846</v>
      </c>
      <c r="AY83" s="294">
        <v>9609</v>
      </c>
    </row>
    <row r="84" spans="1:51" s="307" customFormat="1" x14ac:dyDescent="0.2">
      <c r="A84" s="311" t="s">
        <v>263</v>
      </c>
      <c r="B84" s="311" t="s">
        <v>262</v>
      </c>
      <c r="C84" s="311" t="s">
        <v>306</v>
      </c>
      <c r="D84" s="311" t="s">
        <v>574</v>
      </c>
      <c r="E84" s="311">
        <v>5859</v>
      </c>
      <c r="F84" s="311">
        <v>5712</v>
      </c>
      <c r="G84" s="311">
        <v>5523</v>
      </c>
      <c r="H84" s="311">
        <v>5339</v>
      </c>
      <c r="I84" s="311">
        <v>4991</v>
      </c>
      <c r="J84" s="311">
        <v>4768</v>
      </c>
      <c r="K84" s="321">
        <v>4547</v>
      </c>
      <c r="L84" s="311">
        <v>4311</v>
      </c>
      <c r="M84" s="311">
        <v>4088</v>
      </c>
      <c r="N84" s="311">
        <v>3854</v>
      </c>
      <c r="O84" s="311">
        <v>3663</v>
      </c>
      <c r="P84" s="311"/>
      <c r="Q84" s="323">
        <v>5907</v>
      </c>
      <c r="R84" s="323">
        <v>5759</v>
      </c>
      <c r="S84" s="323">
        <f>3810.6*2</f>
        <v>7621.2</v>
      </c>
      <c r="T84" s="311">
        <v>8249</v>
      </c>
      <c r="U84" s="311">
        <v>6883</v>
      </c>
      <c r="V84" s="311">
        <v>5165</v>
      </c>
      <c r="W84" s="311">
        <v>4924</v>
      </c>
      <c r="X84" s="311">
        <v>4667</v>
      </c>
      <c r="Y84" s="311">
        <v>4424</v>
      </c>
      <c r="Z84" s="311">
        <v>4117</v>
      </c>
      <c r="AA84" s="311">
        <v>3962</v>
      </c>
      <c r="AB84" s="311"/>
      <c r="AC84" s="311">
        <v>15646</v>
      </c>
      <c r="AD84" s="311">
        <v>15260</v>
      </c>
      <c r="AE84" s="311">
        <v>14749</v>
      </c>
      <c r="AF84" s="311">
        <v>14252</v>
      </c>
      <c r="AG84" s="311">
        <v>13311</v>
      </c>
      <c r="AH84" s="311">
        <v>12865</v>
      </c>
      <c r="AI84" s="311">
        <v>12258</v>
      </c>
      <c r="AJ84" s="311">
        <v>11902</v>
      </c>
      <c r="AK84" s="311">
        <v>11555</v>
      </c>
      <c r="AL84" s="311">
        <v>11160</v>
      </c>
      <c r="AM84" s="311">
        <v>11134</v>
      </c>
      <c r="AN84" s="311"/>
      <c r="AO84" s="311">
        <v>15790</v>
      </c>
      <c r="AP84" s="311">
        <v>15400</v>
      </c>
      <c r="AQ84" s="311">
        <f>8884.5*2</f>
        <v>17769</v>
      </c>
      <c r="AR84" s="326">
        <v>18054</v>
      </c>
      <c r="AS84" s="307">
        <v>16036</v>
      </c>
      <c r="AT84" s="307">
        <v>14071</v>
      </c>
      <c r="AU84" s="307">
        <v>13407</v>
      </c>
      <c r="AV84" s="307">
        <v>13017</v>
      </c>
      <c r="AW84" s="307">
        <v>12638</v>
      </c>
      <c r="AX84" s="307">
        <v>12154</v>
      </c>
      <c r="AY84" s="307">
        <v>12180</v>
      </c>
    </row>
    <row r="85" spans="1:51" s="307" customFormat="1" x14ac:dyDescent="0.2">
      <c r="A85" s="311" t="s">
        <v>263</v>
      </c>
      <c r="B85" s="311" t="s">
        <v>262</v>
      </c>
      <c r="C85" s="311" t="s">
        <v>306</v>
      </c>
      <c r="D85" s="311" t="s">
        <v>195</v>
      </c>
      <c r="E85" s="311">
        <v>5726</v>
      </c>
      <c r="F85" s="311">
        <v>5652</v>
      </c>
      <c r="G85" s="311">
        <v>5530</v>
      </c>
      <c r="H85" s="311">
        <v>5386</v>
      </c>
      <c r="I85" s="311">
        <v>5086</v>
      </c>
      <c r="J85" s="311">
        <v>4786</v>
      </c>
      <c r="K85" s="311">
        <v>4584</v>
      </c>
      <c r="L85" s="311">
        <v>4288</v>
      </c>
      <c r="M85" s="311"/>
      <c r="N85" s="311"/>
      <c r="O85" s="311"/>
      <c r="P85" s="311"/>
      <c r="Q85" s="311">
        <v>6350</v>
      </c>
      <c r="R85" s="311">
        <v>6270</v>
      </c>
      <c r="S85" s="311">
        <f>3614*2</f>
        <v>7228</v>
      </c>
      <c r="T85" s="311">
        <v>7012</v>
      </c>
      <c r="U85" s="311">
        <v>6580</v>
      </c>
      <c r="V85" s="311">
        <v>6202</v>
      </c>
      <c r="W85" s="311">
        <v>5948</v>
      </c>
      <c r="X85" s="311">
        <v>5560</v>
      </c>
      <c r="Y85" s="311"/>
      <c r="Z85" s="311"/>
      <c r="AA85" s="311"/>
      <c r="AB85" s="311"/>
      <c r="AC85" s="311">
        <v>16296</v>
      </c>
      <c r="AD85" s="311">
        <v>16066</v>
      </c>
      <c r="AE85" s="311">
        <v>15690</v>
      </c>
      <c r="AF85" s="311">
        <v>15202</v>
      </c>
      <c r="AG85" s="311">
        <v>14256</v>
      </c>
      <c r="AH85" s="311">
        <v>13518</v>
      </c>
      <c r="AI85" s="311">
        <v>12940</v>
      </c>
      <c r="AJ85" s="311">
        <v>12246</v>
      </c>
      <c r="AK85" s="311"/>
      <c r="AL85" s="311"/>
      <c r="AM85" s="311"/>
      <c r="AN85" s="311"/>
      <c r="AO85" s="311">
        <v>17950</v>
      </c>
      <c r="AP85" s="311">
        <v>17690</v>
      </c>
      <c r="AQ85" s="311">
        <f>10310*2</f>
        <v>20620</v>
      </c>
      <c r="AR85" s="311">
        <v>19948</v>
      </c>
      <c r="AS85" s="307">
        <v>18676</v>
      </c>
      <c r="AT85" s="307">
        <v>17722</v>
      </c>
      <c r="AU85" s="307">
        <v>16964</v>
      </c>
      <c r="AV85" s="307">
        <v>16048</v>
      </c>
    </row>
    <row r="87" spans="1:51" s="295" customFormat="1" x14ac:dyDescent="0.2">
      <c r="D87" s="296" t="s">
        <v>259</v>
      </c>
      <c r="E87" s="296">
        <f>COUNT(E76:E85)</f>
        <v>10</v>
      </c>
      <c r="F87" s="296">
        <f>COUNT(F76:F85)</f>
        <v>10</v>
      </c>
      <c r="G87" s="296">
        <f t="shared" ref="G87:L87" si="72">COUNT(G76:G85)</f>
        <v>10</v>
      </c>
      <c r="H87" s="296">
        <f t="shared" si="72"/>
        <v>10</v>
      </c>
      <c r="I87" s="296">
        <f t="shared" si="72"/>
        <v>10</v>
      </c>
      <c r="J87" s="296">
        <f t="shared" si="72"/>
        <v>10</v>
      </c>
      <c r="K87" s="296">
        <f t="shared" si="72"/>
        <v>10</v>
      </c>
      <c r="L87" s="296">
        <f t="shared" si="72"/>
        <v>10</v>
      </c>
      <c r="M87" s="296">
        <v>9</v>
      </c>
      <c r="N87" s="296">
        <v>9</v>
      </c>
      <c r="O87" s="296">
        <v>9</v>
      </c>
      <c r="Q87" s="296">
        <f>COUNT(Q76:Q85)</f>
        <v>10</v>
      </c>
      <c r="R87" s="296">
        <f>COUNT(R76:R85)</f>
        <v>10</v>
      </c>
      <c r="S87" s="296">
        <f t="shared" ref="S87:X87" si="73">COUNT(S76:S85)</f>
        <v>10</v>
      </c>
      <c r="T87" s="296">
        <f t="shared" si="73"/>
        <v>10</v>
      </c>
      <c r="U87" s="296">
        <f t="shared" si="73"/>
        <v>10</v>
      </c>
      <c r="V87" s="296">
        <f t="shared" si="73"/>
        <v>10</v>
      </c>
      <c r="W87" s="296">
        <f t="shared" si="73"/>
        <v>10</v>
      </c>
      <c r="X87" s="296">
        <f t="shared" si="73"/>
        <v>10</v>
      </c>
      <c r="Y87" s="296">
        <v>9</v>
      </c>
      <c r="Z87" s="296">
        <v>9</v>
      </c>
      <c r="AA87" s="296">
        <v>9</v>
      </c>
      <c r="AC87" s="296">
        <f>COUNT(AC76:AC85)</f>
        <v>10</v>
      </c>
      <c r="AD87" s="296">
        <f>COUNT(AD76:AD85)</f>
        <v>10</v>
      </c>
      <c r="AE87" s="296">
        <f t="shared" ref="AE87:AJ87" si="74">COUNT(AE76:AE85)</f>
        <v>10</v>
      </c>
      <c r="AF87" s="296">
        <f t="shared" si="74"/>
        <v>10</v>
      </c>
      <c r="AG87" s="296">
        <f t="shared" si="74"/>
        <v>10</v>
      </c>
      <c r="AH87" s="296">
        <f t="shared" si="74"/>
        <v>10</v>
      </c>
      <c r="AI87" s="296">
        <f t="shared" si="74"/>
        <v>10</v>
      </c>
      <c r="AJ87" s="296">
        <f t="shared" si="74"/>
        <v>10</v>
      </c>
      <c r="AK87" s="296">
        <v>9</v>
      </c>
      <c r="AL87" s="296">
        <v>9</v>
      </c>
      <c r="AM87" s="296">
        <v>9</v>
      </c>
      <c r="AO87" s="296">
        <f>COUNT(AO76:AO85)</f>
        <v>10</v>
      </c>
      <c r="AP87" s="296">
        <f>COUNT(AP76:AP85)</f>
        <v>10</v>
      </c>
      <c r="AQ87" s="296">
        <f t="shared" ref="AQ87:AV87" si="75">COUNT(AQ76:AQ85)</f>
        <v>10</v>
      </c>
      <c r="AR87" s="296">
        <f t="shared" si="75"/>
        <v>10</v>
      </c>
      <c r="AS87" s="296">
        <f t="shared" si="75"/>
        <v>10</v>
      </c>
      <c r="AT87" s="296">
        <f t="shared" si="75"/>
        <v>10</v>
      </c>
      <c r="AU87" s="296">
        <f t="shared" si="75"/>
        <v>10</v>
      </c>
      <c r="AV87" s="296">
        <f t="shared" si="75"/>
        <v>10</v>
      </c>
      <c r="AW87" s="296">
        <v>9</v>
      </c>
      <c r="AX87" s="296">
        <v>9</v>
      </c>
      <c r="AY87" s="296">
        <v>9</v>
      </c>
    </row>
    <row r="88" spans="1:51" s="295" customFormat="1" x14ac:dyDescent="0.2">
      <c r="D88" s="296" t="s">
        <v>257</v>
      </c>
      <c r="E88" s="296">
        <f>MAX(E76:E85)</f>
        <v>10822</v>
      </c>
      <c r="F88" s="296">
        <f>MAX(F76:F85)</f>
        <v>10792</v>
      </c>
      <c r="G88" s="296">
        <f t="shared" ref="G88:L88" si="76">MAX(G76:G85)</f>
        <v>10640</v>
      </c>
      <c r="H88" s="296">
        <f t="shared" si="76"/>
        <v>10478</v>
      </c>
      <c r="I88" s="296">
        <f t="shared" si="76"/>
        <v>10002</v>
      </c>
      <c r="J88" s="296">
        <f t="shared" si="76"/>
        <v>9720</v>
      </c>
      <c r="K88" s="296">
        <f t="shared" si="76"/>
        <v>9716</v>
      </c>
      <c r="L88" s="296">
        <f t="shared" si="76"/>
        <v>8128</v>
      </c>
      <c r="M88" s="861">
        <f>MAX(M76:M84)</f>
        <v>6840</v>
      </c>
      <c r="N88" s="861">
        <f>MAX(N76:N84)</f>
        <v>6240</v>
      </c>
      <c r="O88" s="861">
        <f>MAX(O76:O84)</f>
        <v>6072</v>
      </c>
      <c r="Q88" s="296">
        <f>MAX(Q76:Q85)</f>
        <v>14448</v>
      </c>
      <c r="R88" s="296">
        <f>MAX(R76:R85)</f>
        <v>13944</v>
      </c>
      <c r="S88" s="296">
        <f t="shared" ref="S88:X88" si="77">MAX(S76:S85)</f>
        <v>13242</v>
      </c>
      <c r="T88" s="296">
        <f t="shared" si="77"/>
        <v>12810</v>
      </c>
      <c r="U88" s="296">
        <f t="shared" si="77"/>
        <v>11733</v>
      </c>
      <c r="V88" s="296">
        <f t="shared" si="77"/>
        <v>11148</v>
      </c>
      <c r="W88" s="296">
        <f t="shared" si="77"/>
        <v>10803</v>
      </c>
      <c r="X88" s="296">
        <f t="shared" si="77"/>
        <v>10383</v>
      </c>
      <c r="Y88" s="861">
        <f>MAX(Y76:Y84)</f>
        <v>10221</v>
      </c>
      <c r="Z88" s="861">
        <f>MAX(Z76:Z84)</f>
        <v>9846</v>
      </c>
      <c r="AA88" s="861">
        <f>MAX(AA76:AA84)</f>
        <v>9609</v>
      </c>
      <c r="AC88" s="296">
        <f>MAX(AC76:AC85)</f>
        <v>28336</v>
      </c>
      <c r="AD88" s="296">
        <f>MAX(AD76:AD85)</f>
        <v>27372</v>
      </c>
      <c r="AE88" s="296">
        <f t="shared" ref="AE88:AJ88" si="78">MAX(AE76:AE85)</f>
        <v>26470</v>
      </c>
      <c r="AF88" s="296">
        <f t="shared" si="78"/>
        <v>25458</v>
      </c>
      <c r="AG88" s="296">
        <f t="shared" si="78"/>
        <v>23654</v>
      </c>
      <c r="AH88" s="296">
        <f t="shared" si="78"/>
        <v>22973</v>
      </c>
      <c r="AI88" s="296">
        <f t="shared" si="78"/>
        <v>22315</v>
      </c>
      <c r="AJ88" s="296">
        <f t="shared" si="78"/>
        <v>20592</v>
      </c>
      <c r="AK88" s="861">
        <f>MAX(AK76:AK84)</f>
        <v>19625</v>
      </c>
      <c r="AL88" s="861">
        <f>MAX(AL76:AL84)</f>
        <v>17945</v>
      </c>
      <c r="AM88" s="861">
        <f>MAX(AM76:AM84)</f>
        <v>16999</v>
      </c>
      <c r="AO88" s="296">
        <f>MAX(AO76:AO85)</f>
        <v>30906</v>
      </c>
      <c r="AP88" s="296">
        <f>MAX(AP76:AP85)</f>
        <v>29854</v>
      </c>
      <c r="AQ88" s="296">
        <f t="shared" ref="AQ88:AV88" si="79">MAX(AQ76:AQ85)</f>
        <v>28862</v>
      </c>
      <c r="AR88" s="296">
        <f t="shared" si="79"/>
        <v>27760</v>
      </c>
      <c r="AS88" s="296">
        <f t="shared" si="79"/>
        <v>25804</v>
      </c>
      <c r="AT88" s="296">
        <f t="shared" si="79"/>
        <v>25062</v>
      </c>
      <c r="AU88" s="296">
        <f t="shared" si="79"/>
        <v>24341</v>
      </c>
      <c r="AV88" s="296">
        <f t="shared" si="79"/>
        <v>22393</v>
      </c>
      <c r="AW88" s="861">
        <f>MAX(AW76:AW84)</f>
        <v>21365</v>
      </c>
      <c r="AX88" s="861">
        <f>MAX(AX76:AX84)</f>
        <v>19602</v>
      </c>
      <c r="AY88" s="861">
        <f>MAX(AY76:AY84)</f>
        <v>18066</v>
      </c>
    </row>
    <row r="89" spans="1:51" s="295" customFormat="1" x14ac:dyDescent="0.2">
      <c r="D89" s="296" t="s">
        <v>256</v>
      </c>
      <c r="E89" s="296">
        <f>MIN(E76:E85)</f>
        <v>5726</v>
      </c>
      <c r="F89" s="296">
        <f>MIN(F76:F85)</f>
        <v>5652</v>
      </c>
      <c r="G89" s="296">
        <f t="shared" ref="G89:L89" si="80">MIN(G76:G85)</f>
        <v>5523</v>
      </c>
      <c r="H89" s="296">
        <f t="shared" si="80"/>
        <v>5339</v>
      </c>
      <c r="I89" s="296">
        <f t="shared" si="80"/>
        <v>4723</v>
      </c>
      <c r="J89" s="296">
        <f t="shared" si="80"/>
        <v>4314</v>
      </c>
      <c r="K89" s="296">
        <f t="shared" si="80"/>
        <v>4030</v>
      </c>
      <c r="L89" s="296">
        <f t="shared" si="80"/>
        <v>3810</v>
      </c>
      <c r="M89" s="861">
        <f>MIN(M76:M84)</f>
        <v>3589</v>
      </c>
      <c r="N89" s="861">
        <f>MIN(N76:N84)</f>
        <v>3431</v>
      </c>
      <c r="O89" s="861">
        <f>MIN(O76:O84)</f>
        <v>3222</v>
      </c>
      <c r="Q89" s="296">
        <f>MIN(Q76:Q85)</f>
        <v>5907</v>
      </c>
      <c r="R89" s="296">
        <f>MIN(R76:R85)</f>
        <v>5759</v>
      </c>
      <c r="S89" s="296">
        <f t="shared" ref="S89:X89" si="81">MIN(S76:S85)</f>
        <v>7131</v>
      </c>
      <c r="T89" s="296">
        <f t="shared" si="81"/>
        <v>6861</v>
      </c>
      <c r="U89" s="296">
        <f t="shared" si="81"/>
        <v>4988</v>
      </c>
      <c r="V89" s="296">
        <f t="shared" si="81"/>
        <v>4566</v>
      </c>
      <c r="W89" s="296">
        <f t="shared" si="81"/>
        <v>4270</v>
      </c>
      <c r="X89" s="296">
        <f t="shared" si="81"/>
        <v>4026</v>
      </c>
      <c r="Y89" s="861">
        <f>MIN(Y76:Y84)</f>
        <v>3781</v>
      </c>
      <c r="Z89" s="861">
        <f>MIN(Z76:Z84)</f>
        <v>3623</v>
      </c>
      <c r="AA89" s="861">
        <f>MIN(AA76:AA84)</f>
        <v>3390</v>
      </c>
      <c r="AC89" s="296">
        <f>MIN(AC76:AC85)</f>
        <v>15231</v>
      </c>
      <c r="AD89" s="296">
        <f>MIN(AD76:AD85)</f>
        <v>15231</v>
      </c>
      <c r="AE89" s="296">
        <f t="shared" ref="AE89:AJ89" si="82">MIN(AE76:AE85)</f>
        <v>14749</v>
      </c>
      <c r="AF89" s="296">
        <f t="shared" si="82"/>
        <v>14252</v>
      </c>
      <c r="AG89" s="296">
        <f t="shared" si="82"/>
        <v>12763</v>
      </c>
      <c r="AH89" s="296">
        <f t="shared" si="82"/>
        <v>12514</v>
      </c>
      <c r="AI89" s="296">
        <f t="shared" si="82"/>
        <v>7046</v>
      </c>
      <c r="AJ89" s="296">
        <f t="shared" si="82"/>
        <v>6639</v>
      </c>
      <c r="AK89" s="861">
        <f>MIN(AK76:AK84)</f>
        <v>6456</v>
      </c>
      <c r="AL89" s="861">
        <f>MIN(AL76:AL84)</f>
        <v>6240</v>
      </c>
      <c r="AM89" s="861">
        <f>MIN(AM76:AM84)</f>
        <v>6072</v>
      </c>
      <c r="AO89" s="296">
        <f>MIN(AO76:AO85)</f>
        <v>15790</v>
      </c>
      <c r="AP89" s="296">
        <f>MIN(AP76:AP85)</f>
        <v>15400</v>
      </c>
      <c r="AQ89" s="296">
        <f t="shared" ref="AQ89:AV89" si="83">MIN(AQ76:AQ85)</f>
        <v>16320</v>
      </c>
      <c r="AR89" s="296">
        <f t="shared" si="83"/>
        <v>15762</v>
      </c>
      <c r="AS89" s="296">
        <f t="shared" si="83"/>
        <v>13003</v>
      </c>
      <c r="AT89" s="296">
        <f t="shared" si="83"/>
        <v>12754</v>
      </c>
      <c r="AU89" s="296">
        <f t="shared" si="83"/>
        <v>10803</v>
      </c>
      <c r="AV89" s="296">
        <f t="shared" si="83"/>
        <v>10383</v>
      </c>
      <c r="AW89" s="861">
        <f>MIN(AW76:AW84)</f>
        <v>10221</v>
      </c>
      <c r="AX89" s="861">
        <f>MIN(AX76:AX84)</f>
        <v>9846</v>
      </c>
      <c r="AY89" s="861">
        <f>MIN(AY76:AY84)</f>
        <v>9609</v>
      </c>
    </row>
    <row r="90" spans="1:51" s="295" customFormat="1" x14ac:dyDescent="0.2">
      <c r="D90" s="296" t="s">
        <v>255</v>
      </c>
      <c r="E90" s="296">
        <f>AVERAGE(E76:E85)</f>
        <v>7541.7</v>
      </c>
      <c r="F90" s="296">
        <f>AVERAGE(F76:F85)</f>
        <v>7378.8</v>
      </c>
      <c r="G90" s="296">
        <f t="shared" ref="G90:L90" si="84">AVERAGE(G76:G85)</f>
        <v>7143.9</v>
      </c>
      <c r="H90" s="296">
        <f t="shared" si="84"/>
        <v>7000.8</v>
      </c>
      <c r="I90" s="296">
        <f t="shared" si="84"/>
        <v>6566.9</v>
      </c>
      <c r="J90" s="296">
        <f t="shared" si="84"/>
        <v>6402.8</v>
      </c>
      <c r="K90" s="296">
        <f t="shared" si="84"/>
        <v>6187.7</v>
      </c>
      <c r="L90" s="296">
        <f t="shared" si="84"/>
        <v>5345.6</v>
      </c>
      <c r="M90" s="861">
        <f>AVERAGE(M76:M84)</f>
        <v>5046.7777777777774</v>
      </c>
      <c r="N90" s="861">
        <f>AVERAGE(N76:N84)</f>
        <v>4480.666666666667</v>
      </c>
      <c r="O90" s="861">
        <f>AVERAGE(O76:O84)</f>
        <v>4164</v>
      </c>
      <c r="Q90" s="296">
        <f>AVERAGE(Q76:Q85)</f>
        <v>8999.4</v>
      </c>
      <c r="R90" s="296">
        <f>AVERAGE(R76:R85)</f>
        <v>8795.9</v>
      </c>
      <c r="S90" s="296">
        <f t="shared" ref="S90:X90" si="85">AVERAGE(S76:S85)</f>
        <v>8779.42</v>
      </c>
      <c r="T90" s="296">
        <f t="shared" si="85"/>
        <v>8691.5</v>
      </c>
      <c r="U90" s="296">
        <f t="shared" si="85"/>
        <v>7942.7</v>
      </c>
      <c r="V90" s="296">
        <f t="shared" si="85"/>
        <v>7631</v>
      </c>
      <c r="W90" s="296">
        <f t="shared" si="85"/>
        <v>7313.5</v>
      </c>
      <c r="X90" s="296">
        <f t="shared" si="85"/>
        <v>6370.1</v>
      </c>
      <c r="Y90" s="861">
        <f>AVERAGE(Y76:Y84)</f>
        <v>6069.7777777777774</v>
      </c>
      <c r="Z90" s="861">
        <f>AVERAGE(Z76:Z84)</f>
        <v>5428.333333333333</v>
      </c>
      <c r="AA90" s="861">
        <f>AVERAGE(AA76:AA84)</f>
        <v>5107.5555555555557</v>
      </c>
      <c r="AC90" s="296">
        <f>AVERAGE(AC76:AC85)</f>
        <v>20160.900000000001</v>
      </c>
      <c r="AD90" s="296">
        <f>AVERAGE(AD76:AD85)</f>
        <v>19649.7</v>
      </c>
      <c r="AE90" s="296">
        <f t="shared" ref="AE90:AJ90" si="86">AVERAGE(AE76:AE85)</f>
        <v>18794</v>
      </c>
      <c r="AF90" s="296">
        <f t="shared" si="86"/>
        <v>18380.7</v>
      </c>
      <c r="AG90" s="296">
        <f t="shared" si="86"/>
        <v>17286.900000000001</v>
      </c>
      <c r="AH90" s="296">
        <f t="shared" si="86"/>
        <v>16936.8</v>
      </c>
      <c r="AI90" s="296">
        <f t="shared" si="86"/>
        <v>15658.3</v>
      </c>
      <c r="AJ90" s="296">
        <f t="shared" si="86"/>
        <v>14422</v>
      </c>
      <c r="AK90" s="861">
        <f>AVERAGE(AK76:AK84)</f>
        <v>14090.111111111111</v>
      </c>
      <c r="AL90" s="861">
        <f>AVERAGE(AL76:AL84)</f>
        <v>12980.222222222223</v>
      </c>
      <c r="AM90" s="861">
        <f>AVERAGE(AM76:AM84)</f>
        <v>12509.555555555555</v>
      </c>
      <c r="AO90" s="296">
        <f>AVERAGE(AO76:AO85)</f>
        <v>20464.099999999999</v>
      </c>
      <c r="AP90" s="296">
        <f>AVERAGE(AP76:AP85)</f>
        <v>19975.7</v>
      </c>
      <c r="AQ90" s="296">
        <f t="shared" ref="AQ90:AV90" si="87">AVERAGE(AQ76:AQ85)</f>
        <v>19818.099999999999</v>
      </c>
      <c r="AR90" s="296">
        <f t="shared" si="87"/>
        <v>19369.5</v>
      </c>
      <c r="AS90" s="296">
        <f t="shared" si="87"/>
        <v>18618.900000000001</v>
      </c>
      <c r="AT90" s="296">
        <f t="shared" si="87"/>
        <v>18165.2</v>
      </c>
      <c r="AU90" s="296">
        <f t="shared" si="87"/>
        <v>16681.900000000001</v>
      </c>
      <c r="AV90" s="296">
        <f t="shared" si="87"/>
        <v>15282.7</v>
      </c>
      <c r="AW90" s="861">
        <f>AVERAGE(AW76:AW84)</f>
        <v>15329.777777777777</v>
      </c>
      <c r="AX90" s="861">
        <f>AVERAGE(AX76:AX84)</f>
        <v>14104.888888888889</v>
      </c>
      <c r="AY90" s="861">
        <f>AVERAGE(AY76:AY84)</f>
        <v>13539.222222222223</v>
      </c>
    </row>
    <row r="91" spans="1:51" s="295" customFormat="1" x14ac:dyDescent="0.2">
      <c r="D91" s="296" t="s">
        <v>573</v>
      </c>
      <c r="E91" s="296">
        <f>RANK(E84,E76:E85,0)</f>
        <v>9</v>
      </c>
      <c r="F91" s="296">
        <f t="shared" ref="F91:K91" si="88">RANK(F84,F76:F85,0)</f>
        <v>9</v>
      </c>
      <c r="G91" s="296">
        <f t="shared" si="88"/>
        <v>10</v>
      </c>
      <c r="H91" s="296">
        <f t="shared" si="88"/>
        <v>10</v>
      </c>
      <c r="I91" s="296">
        <f t="shared" si="88"/>
        <v>9</v>
      </c>
      <c r="J91" s="296">
        <f t="shared" si="88"/>
        <v>9</v>
      </c>
      <c r="K91" s="296">
        <f t="shared" si="88"/>
        <v>9</v>
      </c>
      <c r="L91" s="296">
        <v>8</v>
      </c>
      <c r="M91" s="296">
        <v>8</v>
      </c>
      <c r="N91" s="296">
        <v>6</v>
      </c>
      <c r="O91" s="296">
        <v>6</v>
      </c>
      <c r="Q91" s="296">
        <f>RANK(Q84,Q76:Q85,0)</f>
        <v>10</v>
      </c>
      <c r="R91" s="296">
        <f t="shared" ref="R91:W91" si="89">RANK(R84,R76:R85,0)</f>
        <v>10</v>
      </c>
      <c r="S91" s="296">
        <f t="shared" si="89"/>
        <v>8</v>
      </c>
      <c r="T91" s="296">
        <f t="shared" si="89"/>
        <v>5</v>
      </c>
      <c r="U91" s="296">
        <f t="shared" si="89"/>
        <v>7</v>
      </c>
      <c r="V91" s="296">
        <f t="shared" si="89"/>
        <v>9</v>
      </c>
      <c r="W91" s="296">
        <f t="shared" si="89"/>
        <v>9</v>
      </c>
      <c r="X91" s="296">
        <v>9</v>
      </c>
      <c r="Y91" s="296">
        <v>8</v>
      </c>
      <c r="Z91" s="296">
        <v>8</v>
      </c>
      <c r="AA91" s="296">
        <v>8</v>
      </c>
      <c r="AC91" s="296">
        <f>RANK(AC84,AC76:AC85,0)</f>
        <v>9</v>
      </c>
      <c r="AD91" s="296">
        <f t="shared" ref="AD91:AI91" si="90">RANK(AD84,AD76:AD85,0)</f>
        <v>9</v>
      </c>
      <c r="AE91" s="296">
        <f t="shared" si="90"/>
        <v>10</v>
      </c>
      <c r="AF91" s="296">
        <f t="shared" si="90"/>
        <v>10</v>
      </c>
      <c r="AG91" s="296">
        <f t="shared" si="90"/>
        <v>9</v>
      </c>
      <c r="AH91" s="296">
        <f t="shared" si="90"/>
        <v>9</v>
      </c>
      <c r="AI91" s="296">
        <f t="shared" si="90"/>
        <v>9</v>
      </c>
      <c r="AJ91" s="296">
        <v>9</v>
      </c>
      <c r="AK91" s="296">
        <v>8</v>
      </c>
      <c r="AL91" s="296">
        <v>8</v>
      </c>
      <c r="AM91" s="296">
        <v>8</v>
      </c>
      <c r="AO91" s="296">
        <f t="shared" ref="AO91:AU91" si="91">RANK(AO84,AO76:AO85,0)</f>
        <v>10</v>
      </c>
      <c r="AP91" s="296">
        <f t="shared" si="91"/>
        <v>10</v>
      </c>
      <c r="AQ91" s="296">
        <f t="shared" si="91"/>
        <v>5</v>
      </c>
      <c r="AR91" s="296">
        <f t="shared" si="91"/>
        <v>5</v>
      </c>
      <c r="AS91" s="296">
        <f t="shared" si="91"/>
        <v>8</v>
      </c>
      <c r="AT91" s="296">
        <f t="shared" si="91"/>
        <v>8</v>
      </c>
      <c r="AU91" s="296">
        <f t="shared" si="91"/>
        <v>9</v>
      </c>
      <c r="AV91" s="296">
        <v>9</v>
      </c>
      <c r="AW91" s="296">
        <v>8</v>
      </c>
      <c r="AX91" s="296">
        <v>8</v>
      </c>
      <c r="AY91" s="296">
        <v>7</v>
      </c>
    </row>
    <row r="92" spans="1:51" s="295" customFormat="1" x14ac:dyDescent="0.2">
      <c r="D92" s="296" t="s">
        <v>539</v>
      </c>
      <c r="E92" s="296">
        <f>RANK(E85,E76:E85,0)</f>
        <v>10</v>
      </c>
      <c r="F92" s="296">
        <f t="shared" ref="F92:K92" si="92">RANK(F85,F76:F85,0)</f>
        <v>10</v>
      </c>
      <c r="G92" s="296">
        <f t="shared" si="92"/>
        <v>9</v>
      </c>
      <c r="H92" s="296">
        <f t="shared" si="92"/>
        <v>9</v>
      </c>
      <c r="I92" s="296">
        <f t="shared" si="92"/>
        <v>8</v>
      </c>
      <c r="J92" s="296">
        <f t="shared" si="92"/>
        <v>8</v>
      </c>
      <c r="K92" s="296">
        <f t="shared" si="92"/>
        <v>8</v>
      </c>
      <c r="L92" s="296">
        <v>9</v>
      </c>
      <c r="M92" s="296"/>
      <c r="N92" s="296"/>
      <c r="O92" s="296"/>
      <c r="Q92" s="296">
        <f>RANK(Q85,Q76:Q85,0)</f>
        <v>9</v>
      </c>
      <c r="R92" s="296">
        <f t="shared" ref="R92:W92" si="93">RANK(R85,R76:R85,0)</f>
        <v>9</v>
      </c>
      <c r="S92" s="296">
        <f t="shared" si="93"/>
        <v>9</v>
      </c>
      <c r="T92" s="296">
        <f t="shared" si="93"/>
        <v>9</v>
      </c>
      <c r="U92" s="296">
        <f t="shared" si="93"/>
        <v>8</v>
      </c>
      <c r="V92" s="296">
        <f t="shared" si="93"/>
        <v>8</v>
      </c>
      <c r="W92" s="296">
        <f t="shared" si="93"/>
        <v>7</v>
      </c>
      <c r="X92" s="296">
        <v>7</v>
      </c>
      <c r="Y92" s="296"/>
      <c r="Z92" s="296"/>
      <c r="AA92" s="296"/>
      <c r="AC92" s="296">
        <f>RANK(AC85,AC76:AC85,0)</f>
        <v>8</v>
      </c>
      <c r="AD92" s="296">
        <f t="shared" ref="AD92:AI92" si="94">RANK(AD85,AD76:AD85,0)</f>
        <v>8</v>
      </c>
      <c r="AE92" s="296">
        <f t="shared" si="94"/>
        <v>8</v>
      </c>
      <c r="AF92" s="296">
        <f t="shared" si="94"/>
        <v>8</v>
      </c>
      <c r="AG92" s="296">
        <f t="shared" si="94"/>
        <v>8</v>
      </c>
      <c r="AH92" s="296">
        <f t="shared" si="94"/>
        <v>8</v>
      </c>
      <c r="AI92" s="296">
        <f t="shared" si="94"/>
        <v>8</v>
      </c>
      <c r="AJ92" s="296">
        <v>8</v>
      </c>
      <c r="AK92" s="296"/>
      <c r="AL92" s="296"/>
      <c r="AM92" s="296"/>
      <c r="AO92" s="296">
        <f t="shared" ref="AO92:AU92" si="95">RANK(AO85,AO76:AO85,0)</f>
        <v>7</v>
      </c>
      <c r="AP92" s="296">
        <f t="shared" si="95"/>
        <v>7</v>
      </c>
      <c r="AQ92" s="296">
        <f t="shared" si="95"/>
        <v>4</v>
      </c>
      <c r="AR92" s="296">
        <f t="shared" si="95"/>
        <v>4</v>
      </c>
      <c r="AS92" s="296">
        <f t="shared" si="95"/>
        <v>6</v>
      </c>
      <c r="AT92" s="296">
        <f t="shared" si="95"/>
        <v>7</v>
      </c>
      <c r="AU92" s="296">
        <f t="shared" si="95"/>
        <v>4</v>
      </c>
      <c r="AV92" s="296">
        <v>2</v>
      </c>
      <c r="AW92" s="296"/>
      <c r="AX92" s="296"/>
      <c r="AY92" s="296"/>
    </row>
    <row r="93" spans="1:51" s="295" customFormat="1" x14ac:dyDescent="0.2">
      <c r="D93" s="296"/>
      <c r="E93" s="296"/>
      <c r="F93" s="296"/>
      <c r="G93" s="296"/>
      <c r="H93" s="296"/>
      <c r="I93" s="296"/>
      <c r="J93" s="296"/>
      <c r="K93" s="296"/>
      <c r="L93" s="296"/>
      <c r="M93" s="296"/>
      <c r="N93" s="296"/>
      <c r="O93" s="296"/>
      <c r="Q93" s="296"/>
      <c r="R93" s="296"/>
      <c r="S93" s="296"/>
      <c r="T93" s="296"/>
      <c r="U93" s="296"/>
      <c r="V93" s="296"/>
      <c r="W93" s="296"/>
      <c r="X93" s="296"/>
      <c r="Y93" s="296"/>
      <c r="Z93" s="296"/>
      <c r="AA93" s="296"/>
      <c r="AC93" s="296"/>
      <c r="AD93" s="296"/>
      <c r="AE93" s="296"/>
      <c r="AF93" s="296"/>
      <c r="AG93" s="296"/>
      <c r="AH93" s="296"/>
      <c r="AI93" s="296"/>
      <c r="AJ93" s="296"/>
      <c r="AK93" s="296"/>
      <c r="AL93" s="296"/>
      <c r="AM93" s="296"/>
      <c r="AO93" s="296"/>
      <c r="AP93" s="296"/>
      <c r="AQ93" s="296"/>
      <c r="AR93" s="296"/>
      <c r="AS93" s="296"/>
      <c r="AT93" s="296"/>
      <c r="AU93" s="296"/>
      <c r="AV93" s="296"/>
      <c r="AW93" s="296"/>
      <c r="AX93" s="296"/>
      <c r="AY93" s="296"/>
    </row>
    <row r="94" spans="1:51" s="295" customFormat="1" x14ac:dyDescent="0.2">
      <c r="D94" s="296" t="s">
        <v>251</v>
      </c>
      <c r="E94" s="296">
        <f>COUNT(E85,E84,E82,E81,E80,E76)</f>
        <v>6</v>
      </c>
      <c r="F94" s="296">
        <f>COUNT(F85,F84,F82,F81,F80,F76)</f>
        <v>6</v>
      </c>
      <c r="G94" s="296">
        <f t="shared" ref="G94:L94" si="96">COUNT(G85,G84,G82,G81,G80,G76)</f>
        <v>6</v>
      </c>
      <c r="H94" s="296">
        <f t="shared" si="96"/>
        <v>6</v>
      </c>
      <c r="I94" s="296">
        <f t="shared" si="96"/>
        <v>6</v>
      </c>
      <c r="J94" s="296">
        <f t="shared" si="96"/>
        <v>6</v>
      </c>
      <c r="K94" s="296">
        <f t="shared" si="96"/>
        <v>6</v>
      </c>
      <c r="L94" s="296">
        <f t="shared" si="96"/>
        <v>6</v>
      </c>
      <c r="M94" s="296">
        <v>5</v>
      </c>
      <c r="N94" s="296">
        <v>5</v>
      </c>
      <c r="O94" s="296">
        <v>5</v>
      </c>
      <c r="Q94" s="296">
        <f>COUNT(Q85,Q84,Q82,Q81,Q80,Q76)</f>
        <v>6</v>
      </c>
      <c r="R94" s="296">
        <f>COUNT(R85,R84,R82,R81,R80,R76)</f>
        <v>6</v>
      </c>
      <c r="S94" s="296">
        <f t="shared" ref="S94:X94" si="97">COUNT(S85,S84,S82,S81,S80,S76)</f>
        <v>6</v>
      </c>
      <c r="T94" s="296">
        <f t="shared" si="97"/>
        <v>6</v>
      </c>
      <c r="U94" s="296">
        <f t="shared" si="97"/>
        <v>6</v>
      </c>
      <c r="V94" s="296">
        <f t="shared" si="97"/>
        <v>6</v>
      </c>
      <c r="W94" s="296">
        <f t="shared" si="97"/>
        <v>6</v>
      </c>
      <c r="X94" s="296">
        <f t="shared" si="97"/>
        <v>6</v>
      </c>
      <c r="Y94" s="296">
        <v>5</v>
      </c>
      <c r="Z94" s="296">
        <v>5</v>
      </c>
      <c r="AA94" s="296">
        <v>5</v>
      </c>
      <c r="AC94" s="296">
        <f>COUNT(AC85,AC84,AC82,AC81,AC80,AC76)</f>
        <v>6</v>
      </c>
      <c r="AD94" s="296">
        <f>COUNT(AD85,AD84,AD82,AD81,AD80,AD76)</f>
        <v>6</v>
      </c>
      <c r="AE94" s="296">
        <f t="shared" ref="AE94:AJ94" si="98">COUNT(AE85,AE84,AE82,AE81,AE80,AE76)</f>
        <v>6</v>
      </c>
      <c r="AF94" s="296">
        <f t="shared" si="98"/>
        <v>6</v>
      </c>
      <c r="AG94" s="296">
        <f t="shared" si="98"/>
        <v>6</v>
      </c>
      <c r="AH94" s="296">
        <f t="shared" si="98"/>
        <v>6</v>
      </c>
      <c r="AI94" s="296">
        <f t="shared" si="98"/>
        <v>6</v>
      </c>
      <c r="AJ94" s="296">
        <f t="shared" si="98"/>
        <v>6</v>
      </c>
      <c r="AK94" s="296">
        <v>5</v>
      </c>
      <c r="AL94" s="296">
        <v>5</v>
      </c>
      <c r="AM94" s="296">
        <v>5</v>
      </c>
      <c r="AO94" s="296">
        <f>COUNT(AO85,AO84,AO82,AO81,AO80,AO76)</f>
        <v>6</v>
      </c>
      <c r="AP94" s="296">
        <f>COUNT(AP85,AP84,AP82,AP81,AP80,AP76)</f>
        <v>6</v>
      </c>
      <c r="AQ94" s="296">
        <f t="shared" ref="AQ94:AV94" si="99">COUNT(AQ85,AQ84,AQ82,AQ81,AQ80,AQ76)</f>
        <v>6</v>
      </c>
      <c r="AR94" s="296">
        <f t="shared" si="99"/>
        <v>6</v>
      </c>
      <c r="AS94" s="296">
        <f t="shared" si="99"/>
        <v>6</v>
      </c>
      <c r="AT94" s="296">
        <f t="shared" si="99"/>
        <v>6</v>
      </c>
      <c r="AU94" s="296">
        <f t="shared" si="99"/>
        <v>6</v>
      </c>
      <c r="AV94" s="296">
        <f t="shared" si="99"/>
        <v>6</v>
      </c>
      <c r="AW94" s="296">
        <v>5</v>
      </c>
      <c r="AX94" s="296">
        <v>5</v>
      </c>
      <c r="AY94" s="296">
        <v>5</v>
      </c>
    </row>
    <row r="95" spans="1:51" s="295" customFormat="1" x14ac:dyDescent="0.2">
      <c r="D95" s="296" t="s">
        <v>250</v>
      </c>
      <c r="E95" s="296">
        <f>MAX(E85,E84,E82,E81,E80,E76)</f>
        <v>10822</v>
      </c>
      <c r="F95" s="296">
        <f>MAX(F85,F84,F82,F81,F80,F76)</f>
        <v>10792</v>
      </c>
      <c r="G95" s="296">
        <f t="shared" ref="G95:L95" si="100">MAX(G85,G84,G82,G81,G80,G76)</f>
        <v>10640</v>
      </c>
      <c r="H95" s="296">
        <f t="shared" si="100"/>
        <v>10478</v>
      </c>
      <c r="I95" s="296">
        <f t="shared" si="100"/>
        <v>10002</v>
      </c>
      <c r="J95" s="296">
        <f t="shared" si="100"/>
        <v>9720</v>
      </c>
      <c r="K95" s="296">
        <f t="shared" si="100"/>
        <v>9716</v>
      </c>
      <c r="L95" s="296">
        <f t="shared" si="100"/>
        <v>8128</v>
      </c>
      <c r="M95" s="861">
        <v>6840</v>
      </c>
      <c r="N95" s="861">
        <v>5659</v>
      </c>
      <c r="O95" s="861">
        <v>5132</v>
      </c>
      <c r="Q95" s="296">
        <f>MAX(Q85,Q84,Q82,Q81,Q80,Q76)</f>
        <v>12114</v>
      </c>
      <c r="R95" s="296">
        <f>MAX(R85,R84,R82,R81,R80,R76)</f>
        <v>11918</v>
      </c>
      <c r="S95" s="296">
        <f t="shared" ref="S95:X95" si="101">MAX(S85,S84,S82,S81,S80,S76)</f>
        <v>11756</v>
      </c>
      <c r="T95" s="296">
        <f t="shared" si="101"/>
        <v>11604</v>
      </c>
      <c r="U95" s="296">
        <f t="shared" si="101"/>
        <v>10818</v>
      </c>
      <c r="V95" s="296">
        <f t="shared" si="101"/>
        <v>10512</v>
      </c>
      <c r="W95" s="296">
        <f t="shared" si="101"/>
        <v>10217</v>
      </c>
      <c r="X95" s="296">
        <f t="shared" si="101"/>
        <v>8844</v>
      </c>
      <c r="Y95" s="861">
        <v>7971</v>
      </c>
      <c r="Z95" s="861">
        <v>7037</v>
      </c>
      <c r="AA95" s="861">
        <v>6373</v>
      </c>
      <c r="AC95" s="296">
        <f>MAX(AC85,AC84,AC82,AC81,AC80,AC76)</f>
        <v>28336</v>
      </c>
      <c r="AD95" s="296">
        <f>MAX(AD85,AD84,AD82,AD81,AD80,AD76)</f>
        <v>27372</v>
      </c>
      <c r="AE95" s="296">
        <f t="shared" ref="AE95:AJ95" si="102">MAX(AE85,AE84,AE82,AE81,AE80,AE76)</f>
        <v>26470</v>
      </c>
      <c r="AF95" s="296">
        <f t="shared" si="102"/>
        <v>25458</v>
      </c>
      <c r="AG95" s="296">
        <f t="shared" si="102"/>
        <v>23654</v>
      </c>
      <c r="AH95" s="296">
        <f t="shared" si="102"/>
        <v>22973</v>
      </c>
      <c r="AI95" s="296">
        <f t="shared" si="102"/>
        <v>22315</v>
      </c>
      <c r="AJ95" s="296">
        <f t="shared" si="102"/>
        <v>20592</v>
      </c>
      <c r="AK95" s="861">
        <v>19625</v>
      </c>
      <c r="AL95" s="861">
        <v>17945</v>
      </c>
      <c r="AM95" s="861">
        <v>16999</v>
      </c>
      <c r="AO95" s="296">
        <f>MAX(AO85,AO84,AO82,AO81,AO80,AO76)</f>
        <v>30906</v>
      </c>
      <c r="AP95" s="296">
        <f>MAX(AP85,AP84,AP82,AP81,AP80,AP76)</f>
        <v>29854</v>
      </c>
      <c r="AQ95" s="296">
        <f t="shared" ref="AQ95:AV95" si="103">MAX(AQ85,AQ84,AQ82,AQ81,AQ80,AQ76)</f>
        <v>28862</v>
      </c>
      <c r="AR95" s="296">
        <f t="shared" si="103"/>
        <v>27760</v>
      </c>
      <c r="AS95" s="296">
        <f t="shared" si="103"/>
        <v>25804</v>
      </c>
      <c r="AT95" s="296">
        <f t="shared" si="103"/>
        <v>25062</v>
      </c>
      <c r="AU95" s="296">
        <f t="shared" si="103"/>
        <v>24341</v>
      </c>
      <c r="AV95" s="296">
        <f t="shared" si="103"/>
        <v>22393</v>
      </c>
      <c r="AW95" s="861">
        <v>21365</v>
      </c>
      <c r="AX95" s="861">
        <v>19602</v>
      </c>
      <c r="AY95" s="861">
        <v>18066</v>
      </c>
    </row>
    <row r="96" spans="1:51" s="295" customFormat="1" x14ac:dyDescent="0.2">
      <c r="D96" s="296" t="s">
        <v>249</v>
      </c>
      <c r="E96" s="296">
        <f>MIN(E85,E84,E82,E81,E80,E76)</f>
        <v>5726</v>
      </c>
      <c r="F96" s="296">
        <f>MIN(F85,F84,F82,F81,F80,F76)</f>
        <v>5652</v>
      </c>
      <c r="G96" s="296">
        <f t="shared" ref="G96:L96" si="104">MIN(G85,G84,G82,G81,G80,G76)</f>
        <v>5523</v>
      </c>
      <c r="H96" s="296">
        <f t="shared" si="104"/>
        <v>5339</v>
      </c>
      <c r="I96" s="296">
        <f t="shared" si="104"/>
        <v>4723</v>
      </c>
      <c r="J96" s="296">
        <f t="shared" si="104"/>
        <v>4314</v>
      </c>
      <c r="K96" s="296">
        <f t="shared" si="104"/>
        <v>4030</v>
      </c>
      <c r="L96" s="296">
        <f t="shared" si="104"/>
        <v>3810</v>
      </c>
      <c r="M96" s="861">
        <v>3589</v>
      </c>
      <c r="N96" s="861">
        <v>3431</v>
      </c>
      <c r="O96" s="861">
        <v>3222</v>
      </c>
      <c r="Q96" s="296">
        <f>MIN(Q85,Q84,Q82,Q81,Q80,Q76)</f>
        <v>5907</v>
      </c>
      <c r="R96" s="296">
        <f>MIN(R85,R84,R82,R81,R80,R76)</f>
        <v>5759</v>
      </c>
      <c r="S96" s="296">
        <f t="shared" ref="S96:X96" si="105">MIN(S85,S84,S82,S81,S80,S76)</f>
        <v>7131</v>
      </c>
      <c r="T96" s="296">
        <f t="shared" si="105"/>
        <v>6861</v>
      </c>
      <c r="U96" s="296">
        <f t="shared" si="105"/>
        <v>4988</v>
      </c>
      <c r="V96" s="296">
        <f t="shared" si="105"/>
        <v>4566</v>
      </c>
      <c r="W96" s="296">
        <f t="shared" si="105"/>
        <v>4270</v>
      </c>
      <c r="X96" s="296">
        <f t="shared" si="105"/>
        <v>4026</v>
      </c>
      <c r="Y96" s="861">
        <v>3781</v>
      </c>
      <c r="Z96" s="861">
        <v>3623</v>
      </c>
      <c r="AA96" s="861">
        <v>3390</v>
      </c>
      <c r="AC96" s="296">
        <f>MIN(AC85,AC84,AC82,AC81,AC80,AC76)</f>
        <v>15231</v>
      </c>
      <c r="AD96" s="296">
        <f>MIN(AD85,AD84,AD82,AD81,AD80,AD76)</f>
        <v>15231</v>
      </c>
      <c r="AE96" s="296">
        <f t="shared" ref="AE96:AJ96" si="106">MIN(AE85,AE84,AE82,AE81,AE80,AE76)</f>
        <v>14749</v>
      </c>
      <c r="AF96" s="296">
        <f t="shared" si="106"/>
        <v>14252</v>
      </c>
      <c r="AG96" s="296">
        <f t="shared" si="106"/>
        <v>12763</v>
      </c>
      <c r="AH96" s="296">
        <f t="shared" si="106"/>
        <v>12514</v>
      </c>
      <c r="AI96" s="296">
        <f t="shared" si="106"/>
        <v>12258</v>
      </c>
      <c r="AJ96" s="296">
        <f t="shared" si="106"/>
        <v>11902</v>
      </c>
      <c r="AK96" s="861">
        <v>11555</v>
      </c>
      <c r="AL96" s="861">
        <v>11160</v>
      </c>
      <c r="AM96" s="861">
        <v>11134</v>
      </c>
      <c r="AO96" s="296">
        <f>MIN(AO85,AO84,AO82,AO81,AO80,AO76)</f>
        <v>15790</v>
      </c>
      <c r="AP96" s="296">
        <f>MIN(AP85,AP84,AP82,AP81,AP80,AP76)</f>
        <v>15400</v>
      </c>
      <c r="AQ96" s="296">
        <f t="shared" ref="AQ96:AV96" si="107">MIN(AQ85,AQ84,AQ82,AQ81,AQ80,AQ76)</f>
        <v>17257</v>
      </c>
      <c r="AR96" s="296">
        <f t="shared" si="107"/>
        <v>17005</v>
      </c>
      <c r="AS96" s="296">
        <f t="shared" si="107"/>
        <v>13003</v>
      </c>
      <c r="AT96" s="296">
        <f t="shared" si="107"/>
        <v>12754</v>
      </c>
      <c r="AU96" s="296">
        <f t="shared" si="107"/>
        <v>13407</v>
      </c>
      <c r="AV96" s="296">
        <f t="shared" si="107"/>
        <v>13017</v>
      </c>
      <c r="AW96" s="861">
        <v>12638</v>
      </c>
      <c r="AX96" s="861">
        <v>12154</v>
      </c>
      <c r="AY96" s="861">
        <v>12078</v>
      </c>
    </row>
    <row r="97" spans="1:51" s="295" customFormat="1" x14ac:dyDescent="0.2">
      <c r="D97" s="296" t="s">
        <v>248</v>
      </c>
      <c r="E97" s="296">
        <f>AVERAGE(E85,E84,E82,E81,E80,E76)</f>
        <v>7379.666666666667</v>
      </c>
      <c r="F97" s="296">
        <f>AVERAGE(F85,F84,F82,F81,F80,F76)</f>
        <v>7207</v>
      </c>
      <c r="G97" s="296">
        <f t="shared" ref="G97:L97" si="108">AVERAGE(G85,G84,G82,G81,G80,G76)</f>
        <v>7019.166666666667</v>
      </c>
      <c r="H97" s="296">
        <f t="shared" si="108"/>
        <v>6847.166666666667</v>
      </c>
      <c r="I97" s="296">
        <f t="shared" si="108"/>
        <v>6210.333333333333</v>
      </c>
      <c r="J97" s="296">
        <f t="shared" si="108"/>
        <v>6027.666666666667</v>
      </c>
      <c r="K97" s="296">
        <f t="shared" si="108"/>
        <v>5765.166666666667</v>
      </c>
      <c r="L97" s="296">
        <f t="shared" si="108"/>
        <v>5120.166666666667</v>
      </c>
      <c r="M97" s="861">
        <v>4866</v>
      </c>
      <c r="N97" s="861">
        <v>4494</v>
      </c>
      <c r="O97" s="861">
        <v>4171</v>
      </c>
      <c r="Q97" s="296">
        <f>AVERAGE(Q85,Q84,Q82,Q81,Q80,Q76)</f>
        <v>8130.666666666667</v>
      </c>
      <c r="R97" s="296">
        <f>AVERAGE(R85,R84,R82,R81,R80,R76)</f>
        <v>7921.5</v>
      </c>
      <c r="S97" s="296">
        <f t="shared" ref="S97:X97" si="109">AVERAGE(S85,S84,S82,S81,S80,S76)</f>
        <v>8239.0333333333328</v>
      </c>
      <c r="T97" s="296">
        <f t="shared" si="109"/>
        <v>8189.833333333333</v>
      </c>
      <c r="U97" s="296">
        <f t="shared" si="109"/>
        <v>7169.833333333333</v>
      </c>
      <c r="V97" s="296">
        <f t="shared" si="109"/>
        <v>6790.166666666667</v>
      </c>
      <c r="W97" s="296">
        <f t="shared" si="109"/>
        <v>6382.333333333333</v>
      </c>
      <c r="X97" s="296">
        <f t="shared" si="109"/>
        <v>5711.666666666667</v>
      </c>
      <c r="Y97" s="861">
        <v>5393</v>
      </c>
      <c r="Z97" s="861">
        <v>5054</v>
      </c>
      <c r="AA97" s="861">
        <v>4777</v>
      </c>
      <c r="AC97" s="296">
        <f>AVERAGE(AC85,AC84,AC82,AC81,AC80,AC76)</f>
        <v>20461.666666666668</v>
      </c>
      <c r="AD97" s="296">
        <f>AVERAGE(AD85,AD84,AD82,AD81,AD80,AD76)</f>
        <v>19831.833333333332</v>
      </c>
      <c r="AE97" s="296">
        <f t="shared" ref="AE97:AJ97" si="110">AVERAGE(AE85,AE84,AE82,AE81,AE80,AE76)</f>
        <v>19082.166666666668</v>
      </c>
      <c r="AF97" s="296">
        <f t="shared" si="110"/>
        <v>18527.5</v>
      </c>
      <c r="AG97" s="296">
        <f t="shared" si="110"/>
        <v>16961.333333333332</v>
      </c>
      <c r="AH97" s="296">
        <f t="shared" si="110"/>
        <v>16590.833333333332</v>
      </c>
      <c r="AI97" s="296">
        <f t="shared" si="110"/>
        <v>15969.5</v>
      </c>
      <c r="AJ97" s="296">
        <f t="shared" si="110"/>
        <v>14667.5</v>
      </c>
      <c r="AK97" s="861">
        <v>14448</v>
      </c>
      <c r="AL97" s="861">
        <v>13691</v>
      </c>
      <c r="AM97" s="861">
        <v>13091</v>
      </c>
      <c r="AO97" s="296">
        <f>AVERAGE(AO85,AO84,AO82,AO81,AO80,AO76)</f>
        <v>21925.5</v>
      </c>
      <c r="AP97" s="296">
        <f>AVERAGE(AP85,AP84,AP82,AP81,AP80,AP76)</f>
        <v>21259.5</v>
      </c>
      <c r="AQ97" s="296">
        <f t="shared" ref="AQ97:AV97" si="111">AVERAGE(AQ85,AQ84,AQ82,AQ81,AQ80,AQ76)</f>
        <v>21659.833333333332</v>
      </c>
      <c r="AR97" s="296">
        <f t="shared" si="111"/>
        <v>21030.5</v>
      </c>
      <c r="AS97" s="296">
        <f t="shared" si="111"/>
        <v>18899</v>
      </c>
      <c r="AT97" s="296">
        <f t="shared" si="111"/>
        <v>18305.166666666668</v>
      </c>
      <c r="AU97" s="296">
        <f t="shared" si="111"/>
        <v>17532.333333333332</v>
      </c>
      <c r="AV97" s="296">
        <f t="shared" si="111"/>
        <v>16102</v>
      </c>
      <c r="AW97" s="861">
        <v>15365</v>
      </c>
      <c r="AX97" s="861">
        <v>14569</v>
      </c>
      <c r="AY97" s="861">
        <v>13852</v>
      </c>
    </row>
    <row r="98" spans="1:51" s="295" customFormat="1" x14ac:dyDescent="0.2">
      <c r="D98" s="296" t="s">
        <v>572</v>
      </c>
      <c r="E98" s="296">
        <f>RANK(E84,(E76,E80,E81,E82,E84,E85))</f>
        <v>5</v>
      </c>
      <c r="F98" s="296">
        <f>RANK(F84,(F76,F80,F81,F82,F84,F85))</f>
        <v>5</v>
      </c>
      <c r="G98" s="296">
        <f>RANK(G84,(G76,G80,G81,G82,G84,G85))</f>
        <v>6</v>
      </c>
      <c r="H98" s="296">
        <f>RANK(H84,(H76,H80,H81,H82,H84,H85))</f>
        <v>6</v>
      </c>
      <c r="I98" s="296">
        <f>RANK(I84,(I76,I80,I81,I82,I84,I85))</f>
        <v>5</v>
      </c>
      <c r="J98" s="296">
        <f>RANK(J84,(J76,J80,J81,J82,J84,J85))</f>
        <v>5</v>
      </c>
      <c r="K98" s="296">
        <v>5</v>
      </c>
      <c r="L98" s="296">
        <v>4</v>
      </c>
      <c r="M98" s="296">
        <v>4</v>
      </c>
      <c r="N98" s="296">
        <v>4</v>
      </c>
      <c r="O98" s="296">
        <v>4</v>
      </c>
      <c r="Q98" s="296">
        <f>RANK(Q84,(Q76,Q80,Q81,Q82,Q84,Q85))</f>
        <v>6</v>
      </c>
      <c r="R98" s="296">
        <f>RANK(R84,(R76,R80,R81,R82,R84,R85))</f>
        <v>6</v>
      </c>
      <c r="S98" s="296">
        <f>RANK(S84,(S76,S80,S81,S82,S84,S85))</f>
        <v>4</v>
      </c>
      <c r="T98" s="296">
        <f>RANK(T84,(T76,T80,T81,T82,T84,T85))</f>
        <v>2</v>
      </c>
      <c r="U98" s="296">
        <f>RANK(U84,(U76,U80,U81,U82,U84,U85))</f>
        <v>3</v>
      </c>
      <c r="V98" s="296">
        <f>RANK(V84,(V76,V80,V81,V82,V84,V85))</f>
        <v>5</v>
      </c>
      <c r="W98" s="296">
        <v>5</v>
      </c>
      <c r="X98" s="296">
        <v>5</v>
      </c>
      <c r="Y98" s="296">
        <v>4</v>
      </c>
      <c r="Z98" s="296">
        <v>4</v>
      </c>
      <c r="AA98" s="296">
        <v>4</v>
      </c>
      <c r="AC98" s="296">
        <f>RANK(AC84,(AC76,AC80,AC81,AC82,AC84,AC85))</f>
        <v>5</v>
      </c>
      <c r="AD98" s="296">
        <f>RANK(AD84,(AD76,AD80,AD81,AD82,AD84,AD85))</f>
        <v>5</v>
      </c>
      <c r="AE98" s="296">
        <f>RANK(AE84,(AE76,AE80,AE81,AE82,AE84,AE85))</f>
        <v>6</v>
      </c>
      <c r="AF98" s="296">
        <f>RANK(AF84,(AF76,AF80,AF81,AF82,AF84,AF85))</f>
        <v>6</v>
      </c>
      <c r="AG98" s="296">
        <f>RANK(AG84,(AG76,AG80,AG81,AG82,AG84,AG85))</f>
        <v>5</v>
      </c>
      <c r="AH98" s="296">
        <f>RANK(AH84,(AH76,AH80,AH81,AH82,AH84,AH85))</f>
        <v>5</v>
      </c>
      <c r="AI98" s="296">
        <v>6</v>
      </c>
      <c r="AJ98" s="296">
        <v>6</v>
      </c>
      <c r="AK98" s="296">
        <v>5</v>
      </c>
      <c r="AL98" s="296">
        <v>5</v>
      </c>
      <c r="AM98" s="296">
        <v>5</v>
      </c>
      <c r="AO98" s="296">
        <f>RANK(AO84,(AO76,AO80,AO81,AO82,AO84,AO85))</f>
        <v>6</v>
      </c>
      <c r="AP98" s="296">
        <f>RANK(AP84,(AP76,AP80,AP81,AP82,AP84,AP85))</f>
        <v>6</v>
      </c>
      <c r="AQ98" s="296">
        <f>RANK(AQ84,(AQ76,AQ80,AQ81,AQ82,AQ84,AQ85))</f>
        <v>5</v>
      </c>
      <c r="AR98" s="296">
        <f>RANK(AR84,(AR76,AR80,AR81,AR82,AR84,AR85))</f>
        <v>5</v>
      </c>
      <c r="AS98" s="296">
        <f>RANK(AS84,(AS76,AS80,AS81,AS82,AS84,AS85))</f>
        <v>5</v>
      </c>
      <c r="AT98" s="296">
        <f>RANK(AT84,(AT76,AT80,AT81,AT82,AT84,AT85))</f>
        <v>5</v>
      </c>
      <c r="AU98" s="296">
        <v>6</v>
      </c>
      <c r="AV98" s="296">
        <v>6</v>
      </c>
      <c r="AW98" s="296">
        <v>5</v>
      </c>
      <c r="AX98" s="296">
        <v>5</v>
      </c>
      <c r="AY98" s="296">
        <v>4</v>
      </c>
    </row>
    <row r="99" spans="1:51" s="295" customFormat="1" x14ac:dyDescent="0.2">
      <c r="D99" s="296" t="s">
        <v>537</v>
      </c>
      <c r="E99" s="296">
        <f>RANK(E85,(E76,E80,E81,E82,E84,E85))</f>
        <v>6</v>
      </c>
      <c r="F99" s="296">
        <f>RANK(F85,(F76,F80,F81,F82,F84,F85))</f>
        <v>6</v>
      </c>
      <c r="G99" s="296">
        <f>RANK(G85,(G76,G80,G81,G82,G84,G85))</f>
        <v>5</v>
      </c>
      <c r="H99" s="296">
        <f>RANK(H85,(H76,H80,H81,H82,H84,H85))</f>
        <v>5</v>
      </c>
      <c r="I99" s="296">
        <f>RANK(I85,(I76,I80,I81,I82,I84,I85))</f>
        <v>4</v>
      </c>
      <c r="J99" s="296">
        <f>RANK(J85,(J76,J80,J81,J82,J84,J85))</f>
        <v>4</v>
      </c>
      <c r="K99" s="296">
        <v>4</v>
      </c>
      <c r="L99" s="296">
        <v>5</v>
      </c>
      <c r="M99" s="296"/>
      <c r="N99" s="296"/>
      <c r="O99" s="296"/>
      <c r="Q99" s="296">
        <f>RANK(Q85,(Q76,Q80,Q81,Q82,Q84,Q85))</f>
        <v>5</v>
      </c>
      <c r="R99" s="296">
        <f>RANK(R85,(R76,R80,R81,R82,R84,R85))</f>
        <v>5</v>
      </c>
      <c r="S99" s="296">
        <f>RANK(S85,(S76,S80,S81,S82,S84,S85))</f>
        <v>5</v>
      </c>
      <c r="T99" s="296">
        <f>RANK(T85,(T76,T80,T81,T82,T84,T85))</f>
        <v>5</v>
      </c>
      <c r="U99" s="296">
        <f>RANK(U85,(U76,U80,U81,U82,U84,U85))</f>
        <v>4</v>
      </c>
      <c r="V99" s="296">
        <f>RANK(V85,(V76,V80,V81,V82,V84,V85))</f>
        <v>4</v>
      </c>
      <c r="W99" s="296">
        <v>3</v>
      </c>
      <c r="X99" s="296">
        <v>3</v>
      </c>
      <c r="Y99" s="296"/>
      <c r="Z99" s="296"/>
      <c r="AA99" s="296"/>
      <c r="AC99" s="296">
        <f>RANK(AC85,(AC76,AC80,AC81,AC82,AC84,AC85))</f>
        <v>4</v>
      </c>
      <c r="AD99" s="296">
        <f>RANK(AD85,(AD76,AD80,AD81,AD82,AD84,AD85))</f>
        <v>4</v>
      </c>
      <c r="AE99" s="296">
        <f>RANK(AE85,(AE76,AE80,AE81,AE82,AE84,AE85))</f>
        <v>4</v>
      </c>
      <c r="AF99" s="296">
        <f>RANK(AF85,(AF76,AF80,AF81,AF82,AF84,AF85))</f>
        <v>4</v>
      </c>
      <c r="AG99" s="296">
        <f>RANK(AG85,(AG76,AG80,AG81,AG82,AG84,AG85))</f>
        <v>4</v>
      </c>
      <c r="AH99" s="296">
        <f>RANK(AH85,(AH76,AH80,AH81,AH82,AH84,AH85))</f>
        <v>4</v>
      </c>
      <c r="AI99" s="296">
        <v>5</v>
      </c>
      <c r="AJ99" s="296">
        <v>5</v>
      </c>
      <c r="AK99" s="296"/>
      <c r="AL99" s="296"/>
      <c r="AM99" s="296"/>
      <c r="AO99" s="296">
        <f>RANK(AO85,(AO76,AO80,AO81,AO82,AO84,AO85))</f>
        <v>4</v>
      </c>
      <c r="AP99" s="296">
        <f>RANK(AP85,(AP76,AP80,AP81,AP82,AP84,AP85))</f>
        <v>4</v>
      </c>
      <c r="AQ99" s="296">
        <f>RANK(AQ85,(AQ76,AQ80,AQ81,AQ82,AQ84,AQ85))</f>
        <v>4</v>
      </c>
      <c r="AR99" s="296">
        <f>RANK(AR85,(AR76,AR80,AR81,AR82,AR84,AR85))</f>
        <v>4</v>
      </c>
      <c r="AS99" s="296">
        <f>RANK(AS85,(AS76,AS80,AS81,AS82,AS84,AS85))</f>
        <v>3</v>
      </c>
      <c r="AT99" s="296">
        <f>RANK(AT85,(AT76,AT80,AT81,AT82,AT84,AT85))</f>
        <v>4</v>
      </c>
      <c r="AU99" s="296">
        <v>3</v>
      </c>
      <c r="AV99" s="296">
        <v>2</v>
      </c>
      <c r="AW99" s="296"/>
      <c r="AX99" s="296"/>
      <c r="AY99" s="296"/>
    </row>
    <row r="103" spans="1:51" x14ac:dyDescent="0.2">
      <c r="E103" s="1057" t="s">
        <v>536</v>
      </c>
      <c r="F103" s="1057"/>
      <c r="G103" s="319"/>
      <c r="H103" s="319"/>
      <c r="I103" s="319"/>
      <c r="J103" s="319"/>
      <c r="K103" s="319"/>
      <c r="L103" s="319"/>
      <c r="M103" s="319"/>
      <c r="N103" s="319"/>
      <c r="O103" s="319"/>
      <c r="Q103" s="1057" t="s">
        <v>571</v>
      </c>
      <c r="R103" s="1057"/>
      <c r="S103" s="319"/>
      <c r="T103" s="319"/>
      <c r="U103" s="319"/>
      <c r="V103" s="319"/>
      <c r="W103" s="319"/>
      <c r="X103" s="319"/>
      <c r="Y103" s="319"/>
      <c r="Z103" s="319"/>
      <c r="AA103" s="319"/>
      <c r="AC103" s="1057" t="s">
        <v>535</v>
      </c>
      <c r="AD103" s="1057"/>
      <c r="AE103" s="319"/>
      <c r="AF103" s="319"/>
      <c r="AG103" s="319"/>
      <c r="AH103" s="319"/>
      <c r="AI103" s="319"/>
      <c r="AJ103" s="319"/>
      <c r="AK103" s="319"/>
      <c r="AL103" s="319"/>
      <c r="AM103" s="319"/>
      <c r="AO103" s="1057" t="s">
        <v>570</v>
      </c>
      <c r="AP103" s="1057"/>
      <c r="AQ103" s="1057"/>
      <c r="AR103" s="1057"/>
      <c r="AS103" s="1057"/>
      <c r="AT103" s="1057"/>
      <c r="AU103" s="1057"/>
      <c r="AV103" s="1057"/>
      <c r="AW103" s="1057"/>
      <c r="AX103" s="1057"/>
      <c r="AY103" s="1057"/>
    </row>
    <row r="104" spans="1:51" x14ac:dyDescent="0.2">
      <c r="A104" s="318"/>
      <c r="B104" s="318"/>
      <c r="C104" s="318"/>
      <c r="D104" s="318" t="s">
        <v>569</v>
      </c>
      <c r="E104" s="315" t="s">
        <v>533</v>
      </c>
      <c r="F104" s="315" t="s">
        <v>236</v>
      </c>
      <c r="G104" s="315" t="s">
        <v>229</v>
      </c>
      <c r="H104" s="315" t="s">
        <v>224</v>
      </c>
      <c r="I104" s="315" t="s">
        <v>154</v>
      </c>
      <c r="J104" s="315" t="s">
        <v>146</v>
      </c>
      <c r="K104" s="315" t="s">
        <v>104</v>
      </c>
      <c r="L104" s="315" t="s">
        <v>103</v>
      </c>
      <c r="M104" s="315" t="s">
        <v>102</v>
      </c>
      <c r="N104" s="315" t="s">
        <v>101</v>
      </c>
      <c r="O104" s="315" t="s">
        <v>100</v>
      </c>
      <c r="Q104" s="315" t="s">
        <v>533</v>
      </c>
      <c r="R104" s="315" t="s">
        <v>236</v>
      </c>
      <c r="S104" s="315" t="s">
        <v>229</v>
      </c>
      <c r="T104" s="315" t="s">
        <v>224</v>
      </c>
      <c r="U104" s="315" t="s">
        <v>154</v>
      </c>
      <c r="V104" s="315" t="s">
        <v>146</v>
      </c>
      <c r="W104" s="315" t="s">
        <v>104</v>
      </c>
      <c r="X104" s="315" t="s">
        <v>103</v>
      </c>
      <c r="Y104" s="315" t="s">
        <v>102</v>
      </c>
      <c r="Z104" s="315" t="s">
        <v>101</v>
      </c>
      <c r="AA104" s="315" t="s">
        <v>100</v>
      </c>
      <c r="AB104" s="316"/>
      <c r="AC104" s="315" t="s">
        <v>533</v>
      </c>
      <c r="AD104" s="315" t="s">
        <v>236</v>
      </c>
      <c r="AE104" s="315" t="s">
        <v>229</v>
      </c>
      <c r="AF104" s="315" t="s">
        <v>224</v>
      </c>
      <c r="AG104" s="315" t="s">
        <v>154</v>
      </c>
      <c r="AH104" s="315" t="s">
        <v>146</v>
      </c>
      <c r="AI104" s="315" t="s">
        <v>104</v>
      </c>
      <c r="AJ104" s="315" t="s">
        <v>103</v>
      </c>
      <c r="AK104" s="315" t="s">
        <v>102</v>
      </c>
      <c r="AL104" s="315" t="s">
        <v>101</v>
      </c>
      <c r="AM104" s="315" t="s">
        <v>100</v>
      </c>
      <c r="AN104" s="316"/>
      <c r="AO104" s="315" t="s">
        <v>533</v>
      </c>
      <c r="AP104" s="315" t="s">
        <v>236</v>
      </c>
      <c r="AQ104" s="315" t="s">
        <v>229</v>
      </c>
      <c r="AR104" s="315" t="s">
        <v>224</v>
      </c>
      <c r="AS104" s="315" t="s">
        <v>154</v>
      </c>
      <c r="AT104" s="315" t="s">
        <v>146</v>
      </c>
      <c r="AU104" s="315" t="s">
        <v>104</v>
      </c>
      <c r="AV104" s="315" t="s">
        <v>103</v>
      </c>
      <c r="AW104" s="315" t="s">
        <v>102</v>
      </c>
      <c r="AX104" s="315" t="s">
        <v>101</v>
      </c>
      <c r="AY104" s="315" t="s">
        <v>100</v>
      </c>
    </row>
    <row r="105" spans="1:51" x14ac:dyDescent="0.2">
      <c r="A105" s="294" t="s">
        <v>263</v>
      </c>
      <c r="C105" s="294" t="s">
        <v>532</v>
      </c>
      <c r="D105" s="294" t="s">
        <v>568</v>
      </c>
      <c r="E105" s="294">
        <v>8010</v>
      </c>
      <c r="F105" s="294">
        <v>7710</v>
      </c>
      <c r="G105" s="294">
        <v>7410</v>
      </c>
      <c r="H105" s="294">
        <v>6990</v>
      </c>
      <c r="I105" s="294">
        <v>6000</v>
      </c>
      <c r="J105" s="294">
        <v>5740</v>
      </c>
      <c r="K105" s="294">
        <v>5380</v>
      </c>
      <c r="L105" s="294">
        <v>5130</v>
      </c>
      <c r="M105" s="294">
        <v>4888</v>
      </c>
      <c r="N105" s="294">
        <v>4638</v>
      </c>
      <c r="O105" s="294">
        <v>4608</v>
      </c>
      <c r="Q105" s="322">
        <v>13344</v>
      </c>
      <c r="R105" s="322">
        <v>12768</v>
      </c>
      <c r="S105" s="322">
        <v>12216</v>
      </c>
      <c r="T105" s="322">
        <v>11592</v>
      </c>
      <c r="U105" s="294">
        <v>10446</v>
      </c>
      <c r="V105" s="294">
        <v>10084</v>
      </c>
      <c r="W105" s="313">
        <v>9652</v>
      </c>
      <c r="X105" s="294">
        <v>8892</v>
      </c>
      <c r="Y105" s="294">
        <v>8206</v>
      </c>
      <c r="Z105" s="294">
        <v>7806</v>
      </c>
      <c r="AA105" s="294">
        <v>7398</v>
      </c>
      <c r="AC105" s="299">
        <v>24180</v>
      </c>
      <c r="AD105" s="299">
        <v>23100</v>
      </c>
      <c r="AE105" s="299">
        <v>22080</v>
      </c>
      <c r="AF105" s="299">
        <v>20970</v>
      </c>
      <c r="AG105" s="294">
        <v>18960</v>
      </c>
      <c r="AH105" s="294">
        <v>18190</v>
      </c>
      <c r="AI105" s="294">
        <v>17020</v>
      </c>
      <c r="AJ105" s="294">
        <v>15720</v>
      </c>
      <c r="AK105" s="294">
        <v>14788</v>
      </c>
      <c r="AL105" s="294">
        <v>14058</v>
      </c>
      <c r="AM105" s="294">
        <v>13578</v>
      </c>
      <c r="AO105" s="322">
        <v>26280</v>
      </c>
      <c r="AP105" s="322">
        <v>25080</v>
      </c>
      <c r="AQ105" s="322">
        <v>23328</v>
      </c>
      <c r="AR105" s="322">
        <v>22176</v>
      </c>
      <c r="AS105" s="294">
        <v>20238</v>
      </c>
      <c r="AT105" s="294">
        <v>19684</v>
      </c>
      <c r="AU105" s="313">
        <v>18964</v>
      </c>
      <c r="AV105" s="294">
        <v>17364</v>
      </c>
      <c r="AW105" s="294">
        <v>16126</v>
      </c>
      <c r="AX105" s="294">
        <v>15342</v>
      </c>
      <c r="AY105" s="294">
        <v>14574</v>
      </c>
    </row>
    <row r="106" spans="1:51" x14ac:dyDescent="0.2">
      <c r="A106" s="294" t="s">
        <v>263</v>
      </c>
      <c r="C106" s="294" t="s">
        <v>357</v>
      </c>
      <c r="D106" s="294" t="s">
        <v>567</v>
      </c>
      <c r="E106" s="294">
        <v>7064</v>
      </c>
      <c r="F106" s="294">
        <v>6809</v>
      </c>
      <c r="G106" s="294">
        <v>6568</v>
      </c>
      <c r="H106" s="294">
        <v>6391</v>
      </c>
      <c r="I106" s="294">
        <v>6087</v>
      </c>
      <c r="J106" s="294">
        <v>5922</v>
      </c>
      <c r="K106" s="294">
        <v>5763</v>
      </c>
      <c r="L106" s="294">
        <v>5637</v>
      </c>
      <c r="M106" s="294">
        <v>5389</v>
      </c>
      <c r="N106" s="294">
        <v>5044</v>
      </c>
      <c r="O106" s="294">
        <v>4774</v>
      </c>
      <c r="Q106" s="322">
        <v>8873</v>
      </c>
      <c r="R106" s="322">
        <v>8549</v>
      </c>
      <c r="S106" s="322">
        <v>8240</v>
      </c>
      <c r="T106" s="322">
        <v>8023</v>
      </c>
      <c r="U106" s="294">
        <v>8000</v>
      </c>
      <c r="V106" s="294">
        <v>7439</v>
      </c>
      <c r="W106" s="294">
        <v>7243</v>
      </c>
      <c r="X106" s="294">
        <v>7081</v>
      </c>
      <c r="Y106" s="294">
        <v>6784</v>
      </c>
      <c r="Z106" s="294">
        <v>6392</v>
      </c>
      <c r="AA106" s="294">
        <v>6058</v>
      </c>
      <c r="AC106" s="299">
        <v>7064</v>
      </c>
      <c r="AD106" s="299">
        <v>6809</v>
      </c>
      <c r="AE106" s="299">
        <v>6568</v>
      </c>
      <c r="AF106" s="299">
        <v>6391</v>
      </c>
      <c r="AG106" s="294">
        <v>6087</v>
      </c>
      <c r="AH106" s="294">
        <v>5922</v>
      </c>
      <c r="AI106" s="294">
        <v>5763</v>
      </c>
      <c r="AJ106" s="294">
        <v>5637</v>
      </c>
      <c r="AK106" s="294">
        <v>5389</v>
      </c>
      <c r="AL106" s="294">
        <v>12023</v>
      </c>
      <c r="AM106" s="294">
        <v>11416</v>
      </c>
      <c r="AO106" s="322">
        <v>8873</v>
      </c>
      <c r="AP106" s="322">
        <v>8549</v>
      </c>
      <c r="AQ106" s="322">
        <v>8240</v>
      </c>
      <c r="AR106" s="322">
        <v>8023</v>
      </c>
      <c r="AS106" s="294">
        <v>7642</v>
      </c>
      <c r="AT106" s="294">
        <v>7439</v>
      </c>
      <c r="AU106" s="294">
        <v>7243</v>
      </c>
      <c r="AV106" s="294">
        <v>7081</v>
      </c>
      <c r="AW106" s="294">
        <v>6784</v>
      </c>
      <c r="AX106" s="294">
        <v>15623</v>
      </c>
      <c r="AY106" s="294">
        <v>14847</v>
      </c>
    </row>
    <row r="107" spans="1:51" x14ac:dyDescent="0.2">
      <c r="A107" s="294" t="s">
        <v>263</v>
      </c>
      <c r="B107" s="294" t="s">
        <v>262</v>
      </c>
      <c r="C107" s="294" t="s">
        <v>338</v>
      </c>
      <c r="D107" s="294" t="s">
        <v>566</v>
      </c>
      <c r="E107" s="294">
        <v>6207</v>
      </c>
      <c r="F107" s="294">
        <v>5918</v>
      </c>
      <c r="G107" s="294">
        <v>5510</v>
      </c>
      <c r="H107" s="294">
        <v>5168</v>
      </c>
      <c r="I107" s="294">
        <v>4559</v>
      </c>
      <c r="J107" s="294">
        <v>4350</v>
      </c>
      <c r="K107" s="294">
        <v>4147</v>
      </c>
      <c r="L107" s="294">
        <v>3900</v>
      </c>
      <c r="M107" s="294">
        <v>3552</v>
      </c>
      <c r="N107" s="294">
        <v>3342</v>
      </c>
      <c r="O107" s="294">
        <v>3156</v>
      </c>
      <c r="Q107" s="324">
        <v>6778</v>
      </c>
      <c r="R107" s="324">
        <v>6462</v>
      </c>
      <c r="S107" s="324">
        <v>5829</v>
      </c>
      <c r="T107" s="324">
        <v>5650</v>
      </c>
      <c r="U107" s="294">
        <v>4991</v>
      </c>
      <c r="V107" s="294">
        <v>4782</v>
      </c>
      <c r="W107" s="294">
        <v>4566</v>
      </c>
      <c r="X107" s="294">
        <v>4332</v>
      </c>
      <c r="Y107" s="294">
        <v>3960</v>
      </c>
      <c r="Z107" s="294">
        <v>3726</v>
      </c>
      <c r="AA107" s="294">
        <v>3516</v>
      </c>
      <c r="AC107" s="325">
        <v>6928</v>
      </c>
      <c r="AD107" s="325">
        <v>11693</v>
      </c>
      <c r="AE107" s="325">
        <v>11285</v>
      </c>
      <c r="AF107" s="325">
        <v>10943</v>
      </c>
      <c r="AG107" s="294">
        <v>10069</v>
      </c>
      <c r="AH107" s="294">
        <v>9861</v>
      </c>
      <c r="AI107" s="294">
        <v>9658</v>
      </c>
      <c r="AJ107" s="294">
        <v>9432</v>
      </c>
      <c r="AK107" s="294">
        <v>9102</v>
      </c>
      <c r="AL107" s="294">
        <v>8886</v>
      </c>
      <c r="AM107" s="294">
        <v>8700</v>
      </c>
      <c r="AO107" s="324">
        <v>8985</v>
      </c>
      <c r="AP107" s="324">
        <v>12406</v>
      </c>
      <c r="AQ107" s="324">
        <v>11775</v>
      </c>
      <c r="AR107" s="324">
        <v>11596</v>
      </c>
      <c r="AS107" s="294">
        <v>10664</v>
      </c>
      <c r="AT107" s="294">
        <v>10456</v>
      </c>
      <c r="AU107" s="294">
        <v>10114</v>
      </c>
      <c r="AV107" s="294">
        <v>9864</v>
      </c>
      <c r="AW107" s="294">
        <v>9492</v>
      </c>
      <c r="AX107" s="294">
        <v>9270</v>
      </c>
      <c r="AY107" s="294">
        <v>9060</v>
      </c>
    </row>
    <row r="108" spans="1:51" s="307" customFormat="1" x14ac:dyDescent="0.2">
      <c r="A108" s="311" t="s">
        <v>263</v>
      </c>
      <c r="B108" s="311" t="s">
        <v>262</v>
      </c>
      <c r="C108" s="311" t="s">
        <v>306</v>
      </c>
      <c r="D108" s="311" t="s">
        <v>198</v>
      </c>
      <c r="E108" s="311">
        <v>6816</v>
      </c>
      <c r="F108" s="311">
        <v>6676</v>
      </c>
      <c r="G108" s="311">
        <v>6530</v>
      </c>
      <c r="H108" s="311">
        <v>6300</v>
      </c>
      <c r="I108" s="311">
        <v>5924</v>
      </c>
      <c r="J108" s="311">
        <v>5576</v>
      </c>
      <c r="K108" s="311">
        <v>5198</v>
      </c>
      <c r="L108" s="311">
        <v>4736</v>
      </c>
      <c r="M108" s="311">
        <v>4269</v>
      </c>
      <c r="N108" s="311">
        <v>4028</v>
      </c>
      <c r="O108" s="311">
        <v>3796</v>
      </c>
      <c r="P108" s="311"/>
      <c r="Q108" s="323">
        <v>6920</v>
      </c>
      <c r="R108" s="323">
        <v>6778</v>
      </c>
      <c r="S108" s="323">
        <f>3836.75*2</f>
        <v>7673.5</v>
      </c>
      <c r="T108" s="311">
        <v>7406</v>
      </c>
      <c r="U108" s="311">
        <v>6958</v>
      </c>
      <c r="V108" s="311">
        <v>6566</v>
      </c>
      <c r="W108" s="311">
        <v>6130</v>
      </c>
      <c r="X108" s="311">
        <v>5580</v>
      </c>
      <c r="Y108" s="311">
        <v>5281</v>
      </c>
      <c r="Z108" s="311">
        <v>4978</v>
      </c>
      <c r="AA108" s="311">
        <v>4682</v>
      </c>
      <c r="AB108" s="311"/>
      <c r="AC108" s="308">
        <v>20632</v>
      </c>
      <c r="AD108" s="308">
        <v>20288</v>
      </c>
      <c r="AE108" s="308">
        <v>19810</v>
      </c>
      <c r="AF108" s="308">
        <v>19132</v>
      </c>
      <c r="AG108" s="311">
        <v>17902</v>
      </c>
      <c r="AH108" s="311">
        <v>16984</v>
      </c>
      <c r="AI108" s="311">
        <v>15910</v>
      </c>
      <c r="AJ108" s="311">
        <v>14386</v>
      </c>
      <c r="AK108" s="311">
        <v>12847</v>
      </c>
      <c r="AL108" s="311">
        <v>12086</v>
      </c>
      <c r="AM108" s="311">
        <v>11326</v>
      </c>
      <c r="AN108" s="311"/>
      <c r="AO108" s="323">
        <v>20974</v>
      </c>
      <c r="AP108" s="323">
        <v>20624</v>
      </c>
      <c r="AQ108" s="323">
        <f>11800.75*2</f>
        <v>23601.5</v>
      </c>
      <c r="AR108" s="311">
        <v>22796</v>
      </c>
      <c r="AS108" s="307">
        <v>21324</v>
      </c>
      <c r="AT108" s="307">
        <v>20248</v>
      </c>
      <c r="AU108" s="307">
        <v>18984</v>
      </c>
      <c r="AV108" s="307">
        <v>17170</v>
      </c>
      <c r="AW108" s="307">
        <v>16185</v>
      </c>
      <c r="AX108" s="307">
        <v>15218</v>
      </c>
      <c r="AY108" s="307">
        <v>14250</v>
      </c>
    </row>
    <row r="109" spans="1:51" x14ac:dyDescent="0.2">
      <c r="A109" s="294" t="s">
        <v>263</v>
      </c>
      <c r="C109" s="294" t="s">
        <v>271</v>
      </c>
      <c r="D109" s="294" t="s">
        <v>565</v>
      </c>
      <c r="E109" s="294">
        <v>7672</v>
      </c>
      <c r="F109" s="294">
        <v>7442</v>
      </c>
      <c r="G109" s="294">
        <v>7210</v>
      </c>
      <c r="H109" s="294">
        <v>8194</v>
      </c>
      <c r="I109" s="294">
        <v>8416</v>
      </c>
      <c r="J109" s="294">
        <v>8394</v>
      </c>
      <c r="K109" s="294">
        <v>7466</v>
      </c>
      <c r="L109" s="294">
        <v>6645</v>
      </c>
      <c r="M109" s="294">
        <v>5960</v>
      </c>
      <c r="N109" s="294">
        <v>5329</v>
      </c>
      <c r="O109" s="294">
        <v>5145</v>
      </c>
      <c r="Q109" s="322">
        <v>11382</v>
      </c>
      <c r="R109" s="322">
        <v>10742</v>
      </c>
      <c r="S109" s="322">
        <v>10202</v>
      </c>
      <c r="T109" s="322">
        <v>9821</v>
      </c>
      <c r="U109" s="294">
        <v>8904</v>
      </c>
      <c r="V109" s="294">
        <v>8513</v>
      </c>
      <c r="W109" s="294">
        <v>8125</v>
      </c>
      <c r="X109" s="294">
        <v>7751</v>
      </c>
      <c r="Y109" s="294">
        <v>7433</v>
      </c>
      <c r="Z109" s="294">
        <v>7099</v>
      </c>
      <c r="AA109" s="294">
        <v>6567</v>
      </c>
      <c r="AC109" s="299">
        <v>26187</v>
      </c>
      <c r="AD109" s="299">
        <v>24902</v>
      </c>
      <c r="AE109" s="299">
        <v>23687</v>
      </c>
      <c r="AF109" s="299">
        <v>22609</v>
      </c>
      <c r="AG109" s="294">
        <v>19582</v>
      </c>
      <c r="AH109" s="294">
        <v>19560</v>
      </c>
      <c r="AI109" s="294">
        <v>18646</v>
      </c>
      <c r="AJ109" s="294">
        <v>17771</v>
      </c>
      <c r="AK109" s="294">
        <v>16976</v>
      </c>
      <c r="AL109" s="294">
        <v>16189</v>
      </c>
      <c r="AM109" s="294">
        <v>15489</v>
      </c>
      <c r="AO109" s="322">
        <v>25233</v>
      </c>
      <c r="AP109" s="322">
        <v>23930</v>
      </c>
      <c r="AQ109" s="322">
        <v>22765</v>
      </c>
      <c r="AR109" s="322">
        <v>25091</v>
      </c>
      <c r="AS109" s="294">
        <v>24571</v>
      </c>
      <c r="AT109" s="294">
        <v>20642</v>
      </c>
      <c r="AU109" s="294">
        <v>20605</v>
      </c>
      <c r="AV109" s="294">
        <v>20566</v>
      </c>
      <c r="AW109" s="294">
        <v>20567</v>
      </c>
      <c r="AX109" s="294">
        <v>20536</v>
      </c>
      <c r="AY109" s="294">
        <v>20004</v>
      </c>
    </row>
    <row r="111" spans="1:51" s="295" customFormat="1" x14ac:dyDescent="0.2">
      <c r="D111" s="296" t="s">
        <v>259</v>
      </c>
      <c r="E111" s="296">
        <f>COUNT(E105:E109)</f>
        <v>5</v>
      </c>
      <c r="F111" s="296">
        <f>COUNT(F105:F109)</f>
        <v>5</v>
      </c>
      <c r="G111" s="296">
        <f t="shared" ref="G111:L111" si="112">COUNT(G105:G109)</f>
        <v>5</v>
      </c>
      <c r="H111" s="296">
        <f t="shared" si="112"/>
        <v>5</v>
      </c>
      <c r="I111" s="296">
        <f t="shared" si="112"/>
        <v>5</v>
      </c>
      <c r="J111" s="296">
        <f t="shared" si="112"/>
        <v>5</v>
      </c>
      <c r="K111" s="296">
        <f t="shared" si="112"/>
        <v>5</v>
      </c>
      <c r="L111" s="296">
        <f t="shared" si="112"/>
        <v>5</v>
      </c>
      <c r="M111" s="296">
        <v>5</v>
      </c>
      <c r="N111" s="296">
        <v>5</v>
      </c>
      <c r="O111" s="296">
        <v>5</v>
      </c>
      <c r="Q111" s="298">
        <f>COUNT(Q105:Q109)</f>
        <v>5</v>
      </c>
      <c r="R111" s="298">
        <f>COUNT(R105:R109)</f>
        <v>5</v>
      </c>
      <c r="S111" s="297">
        <f t="shared" ref="S111:X111" si="113">COUNT(S105:S109)</f>
        <v>5</v>
      </c>
      <c r="T111" s="297">
        <f t="shared" si="113"/>
        <v>5</v>
      </c>
      <c r="U111" s="297">
        <f t="shared" si="113"/>
        <v>5</v>
      </c>
      <c r="V111" s="297">
        <f t="shared" si="113"/>
        <v>5</v>
      </c>
      <c r="W111" s="296">
        <f t="shared" si="113"/>
        <v>5</v>
      </c>
      <c r="X111" s="296">
        <f t="shared" si="113"/>
        <v>5</v>
      </c>
      <c r="Y111" s="296">
        <v>5</v>
      </c>
      <c r="Z111" s="296">
        <v>5</v>
      </c>
      <c r="AA111" s="296">
        <v>5</v>
      </c>
      <c r="AC111" s="298">
        <f>COUNT(AC105:AC109)</f>
        <v>5</v>
      </c>
      <c r="AD111" s="298">
        <f>COUNT(AD105:AD109)</f>
        <v>5</v>
      </c>
      <c r="AE111" s="297">
        <f t="shared" ref="AE111:AJ111" si="114">COUNT(AE105:AE109)</f>
        <v>5</v>
      </c>
      <c r="AF111" s="297">
        <f t="shared" si="114"/>
        <v>5</v>
      </c>
      <c r="AG111" s="297">
        <f t="shared" si="114"/>
        <v>5</v>
      </c>
      <c r="AH111" s="297">
        <f t="shared" si="114"/>
        <v>5</v>
      </c>
      <c r="AI111" s="296">
        <f t="shared" si="114"/>
        <v>5</v>
      </c>
      <c r="AJ111" s="296">
        <f t="shared" si="114"/>
        <v>5</v>
      </c>
      <c r="AK111" s="296">
        <v>5</v>
      </c>
      <c r="AL111" s="296">
        <v>5</v>
      </c>
      <c r="AM111" s="296">
        <v>5</v>
      </c>
      <c r="AO111" s="298">
        <f>COUNT(AO105:AO109)</f>
        <v>5</v>
      </c>
      <c r="AP111" s="298">
        <f>COUNT(AP105:AP109)</f>
        <v>5</v>
      </c>
      <c r="AQ111" s="297">
        <f t="shared" ref="AQ111:AV111" si="115">COUNT(AQ105:AQ109)</f>
        <v>5</v>
      </c>
      <c r="AR111" s="297">
        <f t="shared" si="115"/>
        <v>5</v>
      </c>
      <c r="AS111" s="297">
        <f t="shared" si="115"/>
        <v>5</v>
      </c>
      <c r="AT111" s="297">
        <f t="shared" si="115"/>
        <v>5</v>
      </c>
      <c r="AU111" s="296">
        <f t="shared" si="115"/>
        <v>5</v>
      </c>
      <c r="AV111" s="296">
        <f t="shared" si="115"/>
        <v>5</v>
      </c>
      <c r="AW111" s="296">
        <v>5</v>
      </c>
      <c r="AX111" s="296">
        <v>5</v>
      </c>
      <c r="AY111" s="296">
        <v>5</v>
      </c>
    </row>
    <row r="112" spans="1:51" s="295" customFormat="1" x14ac:dyDescent="0.2">
      <c r="D112" s="296" t="s">
        <v>257</v>
      </c>
      <c r="E112" s="296">
        <f>MAX(E105:E109)</f>
        <v>8010</v>
      </c>
      <c r="F112" s="296">
        <f>MAX(F105:F109)</f>
        <v>7710</v>
      </c>
      <c r="G112" s="296">
        <f>MAX(G105:G109)</f>
        <v>7410</v>
      </c>
      <c r="H112" s="296">
        <f>MAX(H105:H109)</f>
        <v>8194</v>
      </c>
      <c r="I112" s="296">
        <f t="shared" ref="I112:O112" si="116">MAX(I105:I109)</f>
        <v>8416</v>
      </c>
      <c r="J112" s="296">
        <f t="shared" si="116"/>
        <v>8394</v>
      </c>
      <c r="K112" s="296">
        <f t="shared" si="116"/>
        <v>7466</v>
      </c>
      <c r="L112" s="296">
        <f t="shared" si="116"/>
        <v>6645</v>
      </c>
      <c r="M112" s="861">
        <f t="shared" si="116"/>
        <v>5960</v>
      </c>
      <c r="N112" s="861">
        <f t="shared" si="116"/>
        <v>5329</v>
      </c>
      <c r="O112" s="861">
        <f t="shared" si="116"/>
        <v>5145</v>
      </c>
      <c r="Q112" s="298">
        <f>MAX(Q105:Q109)</f>
        <v>13344</v>
      </c>
      <c r="R112" s="298">
        <f>MAX(R105:R109)</f>
        <v>12768</v>
      </c>
      <c r="S112" s="297">
        <f>MAX(S105:S109)</f>
        <v>12216</v>
      </c>
      <c r="T112" s="297">
        <f>MAX(T105:T109)</f>
        <v>11592</v>
      </c>
      <c r="U112" s="297">
        <f t="shared" ref="U112:AA112" si="117">MAX(U105:U109)</f>
        <v>10446</v>
      </c>
      <c r="V112" s="297">
        <f t="shared" si="117"/>
        <v>10084</v>
      </c>
      <c r="W112" s="296">
        <f t="shared" si="117"/>
        <v>9652</v>
      </c>
      <c r="X112" s="296">
        <f t="shared" si="117"/>
        <v>8892</v>
      </c>
      <c r="Y112" s="861">
        <f t="shared" si="117"/>
        <v>8206</v>
      </c>
      <c r="Z112" s="861">
        <f t="shared" si="117"/>
        <v>7806</v>
      </c>
      <c r="AA112" s="861">
        <f t="shared" si="117"/>
        <v>7398</v>
      </c>
      <c r="AC112" s="298">
        <f>MAX(AC105:AC109)</f>
        <v>26187</v>
      </c>
      <c r="AD112" s="298">
        <f>MAX(AD105:AD109)</f>
        <v>24902</v>
      </c>
      <c r="AE112" s="297">
        <f>MAX(AE105:AE109)</f>
        <v>23687</v>
      </c>
      <c r="AF112" s="297">
        <f>MAX(AF105:AF109)</f>
        <v>22609</v>
      </c>
      <c r="AG112" s="297">
        <f t="shared" ref="AG112:AM112" si="118">MAX(AG105:AG109)</f>
        <v>19582</v>
      </c>
      <c r="AH112" s="297">
        <f t="shared" si="118"/>
        <v>19560</v>
      </c>
      <c r="AI112" s="296">
        <f t="shared" si="118"/>
        <v>18646</v>
      </c>
      <c r="AJ112" s="296">
        <f t="shared" si="118"/>
        <v>17771</v>
      </c>
      <c r="AK112" s="861">
        <f t="shared" si="118"/>
        <v>16976</v>
      </c>
      <c r="AL112" s="861">
        <f t="shared" si="118"/>
        <v>16189</v>
      </c>
      <c r="AM112" s="861">
        <f t="shared" si="118"/>
        <v>15489</v>
      </c>
      <c r="AO112" s="298">
        <f>MAX(AO105:AO109)</f>
        <v>26280</v>
      </c>
      <c r="AP112" s="298">
        <f>MAX(AP105:AP109)</f>
        <v>25080</v>
      </c>
      <c r="AQ112" s="297">
        <f>MAX(AQ105:AQ109)</f>
        <v>23601.5</v>
      </c>
      <c r="AR112" s="297">
        <f>MAX(AR105:AR109)</f>
        <v>25091</v>
      </c>
      <c r="AS112" s="297">
        <f t="shared" ref="AS112:AY112" si="119">MAX(AS105:AS109)</f>
        <v>24571</v>
      </c>
      <c r="AT112" s="297">
        <f t="shared" si="119"/>
        <v>20642</v>
      </c>
      <c r="AU112" s="296">
        <f t="shared" si="119"/>
        <v>20605</v>
      </c>
      <c r="AV112" s="296">
        <f t="shared" si="119"/>
        <v>20566</v>
      </c>
      <c r="AW112" s="861">
        <f t="shared" si="119"/>
        <v>20567</v>
      </c>
      <c r="AX112" s="861">
        <f t="shared" si="119"/>
        <v>20536</v>
      </c>
      <c r="AY112" s="861">
        <f t="shared" si="119"/>
        <v>20004</v>
      </c>
    </row>
    <row r="113" spans="1:51" s="295" customFormat="1" x14ac:dyDescent="0.2">
      <c r="D113" s="296" t="s">
        <v>256</v>
      </c>
      <c r="E113" s="296">
        <f>MIN(E105:E109)</f>
        <v>6207</v>
      </c>
      <c r="F113" s="296">
        <f>MIN(F105:F109)</f>
        <v>5918</v>
      </c>
      <c r="G113" s="296">
        <f>MIN(G105:G109)</f>
        <v>5510</v>
      </c>
      <c r="H113" s="296">
        <f>MIN(H105:H109)</f>
        <v>5168</v>
      </c>
      <c r="I113" s="296">
        <f t="shared" ref="I113:O113" si="120">MIN(I105:I109)</f>
        <v>4559</v>
      </c>
      <c r="J113" s="296">
        <f t="shared" si="120"/>
        <v>4350</v>
      </c>
      <c r="K113" s="296">
        <f t="shared" si="120"/>
        <v>4147</v>
      </c>
      <c r="L113" s="296">
        <f t="shared" si="120"/>
        <v>3900</v>
      </c>
      <c r="M113" s="861">
        <f t="shared" si="120"/>
        <v>3552</v>
      </c>
      <c r="N113" s="861">
        <f t="shared" si="120"/>
        <v>3342</v>
      </c>
      <c r="O113" s="861">
        <f t="shared" si="120"/>
        <v>3156</v>
      </c>
      <c r="Q113" s="298">
        <f>MIN(Q105:Q109)</f>
        <v>6778</v>
      </c>
      <c r="R113" s="298">
        <f>MIN(R105:R109)</f>
        <v>6462</v>
      </c>
      <c r="S113" s="297">
        <f>MIN(S105:S109)</f>
        <v>5829</v>
      </c>
      <c r="T113" s="297">
        <f>MIN(T105:T109)</f>
        <v>5650</v>
      </c>
      <c r="U113" s="297">
        <f t="shared" ref="U113:AA113" si="121">MIN(U105:U109)</f>
        <v>4991</v>
      </c>
      <c r="V113" s="297">
        <f t="shared" si="121"/>
        <v>4782</v>
      </c>
      <c r="W113" s="296">
        <f t="shared" si="121"/>
        <v>4566</v>
      </c>
      <c r="X113" s="296">
        <f t="shared" si="121"/>
        <v>4332</v>
      </c>
      <c r="Y113" s="861">
        <f t="shared" si="121"/>
        <v>3960</v>
      </c>
      <c r="Z113" s="861">
        <f t="shared" si="121"/>
        <v>3726</v>
      </c>
      <c r="AA113" s="861">
        <f t="shared" si="121"/>
        <v>3516</v>
      </c>
      <c r="AC113" s="298">
        <f>MIN(AC105:AC109)</f>
        <v>6928</v>
      </c>
      <c r="AD113" s="298">
        <f>MIN(AD105:AD109)</f>
        <v>6809</v>
      </c>
      <c r="AE113" s="297">
        <f>MIN(AE105:AE109)</f>
        <v>6568</v>
      </c>
      <c r="AF113" s="297">
        <f>MIN(AF105:AF109)</f>
        <v>6391</v>
      </c>
      <c r="AG113" s="297">
        <f t="shared" ref="AG113:AM113" si="122">MIN(AG105:AG109)</f>
        <v>6087</v>
      </c>
      <c r="AH113" s="297">
        <f t="shared" si="122"/>
        <v>5922</v>
      </c>
      <c r="AI113" s="296">
        <f t="shared" si="122"/>
        <v>5763</v>
      </c>
      <c r="AJ113" s="296">
        <f t="shared" si="122"/>
        <v>5637</v>
      </c>
      <c r="AK113" s="861">
        <f t="shared" si="122"/>
        <v>5389</v>
      </c>
      <c r="AL113" s="861">
        <f t="shared" si="122"/>
        <v>8886</v>
      </c>
      <c r="AM113" s="861">
        <f t="shared" si="122"/>
        <v>8700</v>
      </c>
      <c r="AO113" s="298">
        <f>MIN(AO105:AO109)</f>
        <v>8873</v>
      </c>
      <c r="AP113" s="298">
        <f>MIN(AP105:AP109)</f>
        <v>8549</v>
      </c>
      <c r="AQ113" s="297">
        <f>MIN(AQ105:AQ109)</f>
        <v>8240</v>
      </c>
      <c r="AR113" s="297">
        <f>MIN(AR105:AR109)</f>
        <v>8023</v>
      </c>
      <c r="AS113" s="297">
        <f t="shared" ref="AS113:AY113" si="123">MIN(AS105:AS109)</f>
        <v>7642</v>
      </c>
      <c r="AT113" s="297">
        <f t="shared" si="123"/>
        <v>7439</v>
      </c>
      <c r="AU113" s="296">
        <f t="shared" si="123"/>
        <v>7243</v>
      </c>
      <c r="AV113" s="296">
        <f t="shared" si="123"/>
        <v>7081</v>
      </c>
      <c r="AW113" s="861">
        <f t="shared" si="123"/>
        <v>6784</v>
      </c>
      <c r="AX113" s="861">
        <f t="shared" si="123"/>
        <v>9270</v>
      </c>
      <c r="AY113" s="861">
        <f t="shared" si="123"/>
        <v>9060</v>
      </c>
    </row>
    <row r="114" spans="1:51" s="295" customFormat="1" x14ac:dyDescent="0.2">
      <c r="D114" s="296" t="s">
        <v>255</v>
      </c>
      <c r="E114" s="296">
        <f>AVERAGE(E105:E109)</f>
        <v>7153.8</v>
      </c>
      <c r="F114" s="296">
        <f>AVERAGE(F105:F109)</f>
        <v>6911</v>
      </c>
      <c r="G114" s="296">
        <f>AVERAGE(G105:G109)</f>
        <v>6645.6</v>
      </c>
      <c r="H114" s="296">
        <f>AVERAGE(H105:H109)</f>
        <v>6608.6</v>
      </c>
      <c r="I114" s="296">
        <f t="shared" ref="I114:O114" si="124">AVERAGE(I105:I109)</f>
        <v>6197.2</v>
      </c>
      <c r="J114" s="296">
        <f t="shared" si="124"/>
        <v>5996.4</v>
      </c>
      <c r="K114" s="296">
        <f t="shared" si="124"/>
        <v>5590.8</v>
      </c>
      <c r="L114" s="296">
        <f t="shared" si="124"/>
        <v>5209.6000000000004</v>
      </c>
      <c r="M114" s="861">
        <f t="shared" si="124"/>
        <v>4811.6000000000004</v>
      </c>
      <c r="N114" s="861">
        <f t="shared" si="124"/>
        <v>4476.2</v>
      </c>
      <c r="O114" s="861">
        <f t="shared" si="124"/>
        <v>4295.8</v>
      </c>
      <c r="Q114" s="298">
        <f>AVERAGE(Q105:Q109)</f>
        <v>9459.4</v>
      </c>
      <c r="R114" s="298">
        <f>AVERAGE(R105:R109)</f>
        <v>9059.7999999999993</v>
      </c>
      <c r="S114" s="297">
        <f>AVERAGE(S105:S109)</f>
        <v>8832.1</v>
      </c>
      <c r="T114" s="297">
        <f>AVERAGE(T105:T109)</f>
        <v>8498.4</v>
      </c>
      <c r="U114" s="297">
        <f t="shared" ref="U114:AA114" si="125">AVERAGE(U105:U109)</f>
        <v>7859.8</v>
      </c>
      <c r="V114" s="297">
        <f t="shared" si="125"/>
        <v>7476.8</v>
      </c>
      <c r="W114" s="296">
        <f t="shared" si="125"/>
        <v>7143.2</v>
      </c>
      <c r="X114" s="296">
        <f t="shared" si="125"/>
        <v>6727.2</v>
      </c>
      <c r="Y114" s="861">
        <f t="shared" si="125"/>
        <v>6332.8</v>
      </c>
      <c r="Z114" s="861">
        <f t="shared" si="125"/>
        <v>6000.2</v>
      </c>
      <c r="AA114" s="861">
        <f t="shared" si="125"/>
        <v>5644.2</v>
      </c>
      <c r="AC114" s="298">
        <f>AVERAGE(AC105:AC109)</f>
        <v>16998.2</v>
      </c>
      <c r="AD114" s="298">
        <f>AVERAGE(AD105:AD109)</f>
        <v>17358.400000000001</v>
      </c>
      <c r="AE114" s="297">
        <f>AVERAGE(AE105:AE109)</f>
        <v>16686</v>
      </c>
      <c r="AF114" s="297">
        <f>AVERAGE(AF105:AF109)</f>
        <v>16009</v>
      </c>
      <c r="AG114" s="297">
        <f t="shared" ref="AG114:AM114" si="126">AVERAGE(AG105:AG109)</f>
        <v>14520</v>
      </c>
      <c r="AH114" s="297">
        <f t="shared" si="126"/>
        <v>14103.4</v>
      </c>
      <c r="AI114" s="296">
        <f t="shared" si="126"/>
        <v>13399.4</v>
      </c>
      <c r="AJ114" s="296">
        <f t="shared" si="126"/>
        <v>12589.2</v>
      </c>
      <c r="AK114" s="861">
        <f t="shared" si="126"/>
        <v>11820.4</v>
      </c>
      <c r="AL114" s="861">
        <f t="shared" si="126"/>
        <v>12648.4</v>
      </c>
      <c r="AM114" s="861">
        <f t="shared" si="126"/>
        <v>12101.8</v>
      </c>
      <c r="AO114" s="298">
        <f>AVERAGE(AO105:AO109)</f>
        <v>18069</v>
      </c>
      <c r="AP114" s="298">
        <f>AVERAGE(AP105:AP109)</f>
        <v>18117.8</v>
      </c>
      <c r="AQ114" s="297">
        <f>AVERAGE(AQ105:AQ109)</f>
        <v>17941.900000000001</v>
      </c>
      <c r="AR114" s="297">
        <f>AVERAGE(AR105:AR109)</f>
        <v>17936.400000000001</v>
      </c>
      <c r="AS114" s="297">
        <f t="shared" ref="AS114:AY114" si="127">AVERAGE(AS105:AS109)</f>
        <v>16887.8</v>
      </c>
      <c r="AT114" s="297">
        <f t="shared" si="127"/>
        <v>15693.8</v>
      </c>
      <c r="AU114" s="296">
        <f t="shared" si="127"/>
        <v>15182</v>
      </c>
      <c r="AV114" s="296">
        <f t="shared" si="127"/>
        <v>14409</v>
      </c>
      <c r="AW114" s="861">
        <f t="shared" si="127"/>
        <v>13830.8</v>
      </c>
      <c r="AX114" s="861">
        <f t="shared" si="127"/>
        <v>15197.8</v>
      </c>
      <c r="AY114" s="861">
        <f t="shared" si="127"/>
        <v>14547</v>
      </c>
    </row>
    <row r="115" spans="1:51" s="295" customFormat="1" x14ac:dyDescent="0.2">
      <c r="D115" s="296" t="s">
        <v>564</v>
      </c>
      <c r="E115" s="296">
        <f>RANK(E108,E105:E109,0)</f>
        <v>4</v>
      </c>
      <c r="F115" s="296">
        <f t="shared" ref="F115:K115" si="128">RANK(F108,F105:F109,0)</f>
        <v>4</v>
      </c>
      <c r="G115" s="296">
        <f t="shared" si="128"/>
        <v>4</v>
      </c>
      <c r="H115" s="296">
        <f t="shared" si="128"/>
        <v>4</v>
      </c>
      <c r="I115" s="296">
        <f t="shared" si="128"/>
        <v>4</v>
      </c>
      <c r="J115" s="296">
        <f t="shared" si="128"/>
        <v>4</v>
      </c>
      <c r="K115" s="296">
        <f t="shared" si="128"/>
        <v>4</v>
      </c>
      <c r="L115" s="296">
        <v>4</v>
      </c>
      <c r="M115" s="296">
        <v>4</v>
      </c>
      <c r="N115" s="296">
        <v>4</v>
      </c>
      <c r="O115" s="296">
        <v>4</v>
      </c>
      <c r="Q115" s="298">
        <f>RANK(Q108,Q105:Q109,0)</f>
        <v>4</v>
      </c>
      <c r="R115" s="298">
        <f t="shared" ref="R115:W115" si="129">RANK(R108,R105:R109,0)</f>
        <v>4</v>
      </c>
      <c r="S115" s="297">
        <f t="shared" si="129"/>
        <v>4</v>
      </c>
      <c r="T115" s="297">
        <f t="shared" si="129"/>
        <v>4</v>
      </c>
      <c r="U115" s="297">
        <f t="shared" si="129"/>
        <v>4</v>
      </c>
      <c r="V115" s="297">
        <f t="shared" si="129"/>
        <v>4</v>
      </c>
      <c r="W115" s="296">
        <f t="shared" si="129"/>
        <v>4</v>
      </c>
      <c r="X115" s="296">
        <v>4</v>
      </c>
      <c r="Y115" s="296">
        <v>4</v>
      </c>
      <c r="Z115" s="296">
        <v>4</v>
      </c>
      <c r="AA115" s="296">
        <v>4</v>
      </c>
      <c r="AC115" s="298">
        <f>RANK(AC108,AC105:AC109,0)</f>
        <v>3</v>
      </c>
      <c r="AD115" s="298">
        <f t="shared" ref="AD115:AI115" si="130">RANK(AD108,AD105:AD109,0)</f>
        <v>3</v>
      </c>
      <c r="AE115" s="297">
        <f t="shared" si="130"/>
        <v>3</v>
      </c>
      <c r="AF115" s="297">
        <f t="shared" si="130"/>
        <v>3</v>
      </c>
      <c r="AG115" s="297">
        <f t="shared" si="130"/>
        <v>3</v>
      </c>
      <c r="AH115" s="297">
        <f t="shared" si="130"/>
        <v>3</v>
      </c>
      <c r="AI115" s="296">
        <f t="shared" si="130"/>
        <v>3</v>
      </c>
      <c r="AJ115" s="296">
        <v>3</v>
      </c>
      <c r="AK115" s="296">
        <v>3</v>
      </c>
      <c r="AL115" s="296">
        <v>3</v>
      </c>
      <c r="AM115" s="296">
        <v>4</v>
      </c>
      <c r="AO115" s="298">
        <f t="shared" ref="AO115:AU115" si="131">RANK(AO108,AO105:AO109,0)</f>
        <v>3</v>
      </c>
      <c r="AP115" s="298">
        <f t="shared" si="131"/>
        <v>3</v>
      </c>
      <c r="AQ115" s="297">
        <f t="shared" si="131"/>
        <v>1</v>
      </c>
      <c r="AR115" s="297">
        <f t="shared" si="131"/>
        <v>2</v>
      </c>
      <c r="AS115" s="297">
        <f t="shared" si="131"/>
        <v>2</v>
      </c>
      <c r="AT115" s="297">
        <f t="shared" si="131"/>
        <v>2</v>
      </c>
      <c r="AU115" s="296">
        <f t="shared" si="131"/>
        <v>2</v>
      </c>
      <c r="AV115" s="296">
        <v>3</v>
      </c>
      <c r="AW115" s="296">
        <v>2</v>
      </c>
      <c r="AX115" s="296">
        <v>4</v>
      </c>
      <c r="AY115" s="296">
        <v>4</v>
      </c>
    </row>
    <row r="116" spans="1:51" s="295" customFormat="1" x14ac:dyDescent="0.2">
      <c r="D116" s="296"/>
      <c r="E116" s="296"/>
      <c r="F116" s="296"/>
      <c r="G116" s="296"/>
      <c r="H116" s="296"/>
      <c r="I116" s="296"/>
      <c r="J116" s="296"/>
      <c r="K116" s="296"/>
      <c r="L116" s="296"/>
      <c r="M116" s="296"/>
      <c r="N116" s="296"/>
      <c r="O116" s="296"/>
      <c r="Q116" s="298"/>
      <c r="R116" s="298"/>
      <c r="S116" s="297"/>
      <c r="T116" s="297"/>
      <c r="U116" s="297"/>
      <c r="V116" s="297"/>
      <c r="W116" s="296"/>
      <c r="X116" s="296"/>
      <c r="Y116" s="296"/>
      <c r="Z116" s="296"/>
      <c r="AA116" s="296"/>
      <c r="AC116" s="298"/>
      <c r="AD116" s="298"/>
      <c r="AE116" s="297"/>
      <c r="AF116" s="297"/>
      <c r="AG116" s="297"/>
      <c r="AH116" s="297"/>
      <c r="AI116" s="296"/>
      <c r="AJ116" s="296"/>
      <c r="AK116" s="296"/>
      <c r="AL116" s="296"/>
      <c r="AM116" s="296"/>
      <c r="AO116" s="298"/>
      <c r="AP116" s="298"/>
      <c r="AQ116" s="297"/>
      <c r="AR116" s="297"/>
      <c r="AS116" s="297"/>
      <c r="AT116" s="297"/>
      <c r="AU116" s="296"/>
      <c r="AV116" s="296"/>
      <c r="AW116" s="296"/>
      <c r="AX116" s="296"/>
      <c r="AY116" s="296"/>
    </row>
    <row r="117" spans="1:51" s="295" customFormat="1" x14ac:dyDescent="0.2">
      <c r="D117" s="296" t="s">
        <v>251</v>
      </c>
      <c r="E117" s="296">
        <f>COUNT(E107,E108)</f>
        <v>2</v>
      </c>
      <c r="F117" s="296">
        <f>COUNT(F107,F108)</f>
        <v>2</v>
      </c>
      <c r="G117" s="296">
        <f t="shared" ref="G117:L117" si="132">COUNT(G107,G108)</f>
        <v>2</v>
      </c>
      <c r="H117" s="296">
        <f t="shared" si="132"/>
        <v>2</v>
      </c>
      <c r="I117" s="296">
        <f t="shared" si="132"/>
        <v>2</v>
      </c>
      <c r="J117" s="296">
        <f t="shared" si="132"/>
        <v>2</v>
      </c>
      <c r="K117" s="296">
        <f t="shared" si="132"/>
        <v>2</v>
      </c>
      <c r="L117" s="296">
        <f t="shared" si="132"/>
        <v>2</v>
      </c>
      <c r="M117" s="296">
        <v>2</v>
      </c>
      <c r="N117" s="296">
        <v>2</v>
      </c>
      <c r="O117" s="296">
        <v>2</v>
      </c>
      <c r="Q117" s="298">
        <f>COUNT(Q107,Q108)</f>
        <v>2</v>
      </c>
      <c r="R117" s="298">
        <f>COUNT(R107,R108)</f>
        <v>2</v>
      </c>
      <c r="S117" s="297">
        <f t="shared" ref="S117:X117" si="133">COUNT(S107,S108)</f>
        <v>2</v>
      </c>
      <c r="T117" s="297">
        <f t="shared" si="133"/>
        <v>2</v>
      </c>
      <c r="U117" s="297">
        <f t="shared" si="133"/>
        <v>2</v>
      </c>
      <c r="V117" s="297">
        <f t="shared" si="133"/>
        <v>2</v>
      </c>
      <c r="W117" s="296">
        <f t="shared" si="133"/>
        <v>2</v>
      </c>
      <c r="X117" s="296">
        <f t="shared" si="133"/>
        <v>2</v>
      </c>
      <c r="Y117" s="296">
        <v>2</v>
      </c>
      <c r="Z117" s="296">
        <v>2</v>
      </c>
      <c r="AA117" s="296">
        <v>2</v>
      </c>
      <c r="AC117" s="298">
        <f>COUNT(AC107,AC108)</f>
        <v>2</v>
      </c>
      <c r="AD117" s="298">
        <f>COUNT(AD107,AD108)</f>
        <v>2</v>
      </c>
      <c r="AE117" s="297">
        <f t="shared" ref="AE117:AJ117" si="134">COUNT(AE107,AE108)</f>
        <v>2</v>
      </c>
      <c r="AF117" s="297">
        <f t="shared" si="134"/>
        <v>2</v>
      </c>
      <c r="AG117" s="297">
        <f t="shared" si="134"/>
        <v>2</v>
      </c>
      <c r="AH117" s="297">
        <f t="shared" si="134"/>
        <v>2</v>
      </c>
      <c r="AI117" s="296">
        <f t="shared" si="134"/>
        <v>2</v>
      </c>
      <c r="AJ117" s="296">
        <f t="shared" si="134"/>
        <v>2</v>
      </c>
      <c r="AK117" s="296">
        <v>2</v>
      </c>
      <c r="AL117" s="296">
        <v>2</v>
      </c>
      <c r="AM117" s="296">
        <v>2</v>
      </c>
      <c r="AO117" s="298">
        <f>COUNT(AO107,AO108)</f>
        <v>2</v>
      </c>
      <c r="AP117" s="298">
        <f>COUNT(AP107,AP108)</f>
        <v>2</v>
      </c>
      <c r="AQ117" s="297">
        <f t="shared" ref="AQ117:AV117" si="135">COUNT(AQ107,AQ108)</f>
        <v>2</v>
      </c>
      <c r="AR117" s="297">
        <f t="shared" si="135"/>
        <v>2</v>
      </c>
      <c r="AS117" s="297">
        <f t="shared" si="135"/>
        <v>2</v>
      </c>
      <c r="AT117" s="297">
        <f t="shared" si="135"/>
        <v>2</v>
      </c>
      <c r="AU117" s="296">
        <f t="shared" si="135"/>
        <v>2</v>
      </c>
      <c r="AV117" s="296">
        <f t="shared" si="135"/>
        <v>2</v>
      </c>
      <c r="AW117" s="296">
        <v>2</v>
      </c>
      <c r="AX117" s="296">
        <v>2</v>
      </c>
      <c r="AY117" s="296">
        <v>2</v>
      </c>
    </row>
    <row r="118" spans="1:51" s="295" customFormat="1" x14ac:dyDescent="0.2">
      <c r="D118" s="296" t="s">
        <v>250</v>
      </c>
      <c r="E118" s="296">
        <f>MAX(E107,E108)</f>
        <v>6816</v>
      </c>
      <c r="F118" s="296">
        <f>MAX(F107,F108)</f>
        <v>6676</v>
      </c>
      <c r="G118" s="296">
        <f t="shared" ref="G118:L118" si="136">MAX(G107,G108)</f>
        <v>6530</v>
      </c>
      <c r="H118" s="296">
        <f t="shared" si="136"/>
        <v>6300</v>
      </c>
      <c r="I118" s="296">
        <f t="shared" si="136"/>
        <v>5924</v>
      </c>
      <c r="J118" s="296">
        <f t="shared" si="136"/>
        <v>5576</v>
      </c>
      <c r="K118" s="296">
        <f t="shared" si="136"/>
        <v>5198</v>
      </c>
      <c r="L118" s="296">
        <f t="shared" si="136"/>
        <v>4736</v>
      </c>
      <c r="M118" s="861">
        <v>4269</v>
      </c>
      <c r="N118" s="861">
        <v>4028</v>
      </c>
      <c r="O118" s="861">
        <v>3796</v>
      </c>
      <c r="P118" s="862"/>
      <c r="Q118" s="859">
        <f>MAX(Q107,Q108)</f>
        <v>6920</v>
      </c>
      <c r="R118" s="859">
        <f>MAX(R107,R108)</f>
        <v>6778</v>
      </c>
      <c r="S118" s="863">
        <f t="shared" ref="S118:X118" si="137">MAX(S107,S108)</f>
        <v>7673.5</v>
      </c>
      <c r="T118" s="863">
        <f t="shared" si="137"/>
        <v>7406</v>
      </c>
      <c r="U118" s="863">
        <f t="shared" si="137"/>
        <v>6958</v>
      </c>
      <c r="V118" s="863">
        <f t="shared" si="137"/>
        <v>6566</v>
      </c>
      <c r="W118" s="296">
        <f t="shared" si="137"/>
        <v>6130</v>
      </c>
      <c r="X118" s="296">
        <f t="shared" si="137"/>
        <v>5580</v>
      </c>
      <c r="Y118" s="861">
        <v>5281</v>
      </c>
      <c r="Z118" s="861">
        <v>4978</v>
      </c>
      <c r="AA118" s="861">
        <v>4682</v>
      </c>
      <c r="AB118" s="862"/>
      <c r="AC118" s="859">
        <f>MAX(AC107,AC108)</f>
        <v>20632</v>
      </c>
      <c r="AD118" s="859">
        <f>MAX(AD107,AD108)</f>
        <v>20288</v>
      </c>
      <c r="AE118" s="863">
        <f t="shared" ref="AE118:AJ118" si="138">MAX(AE107,AE108)</f>
        <v>19810</v>
      </c>
      <c r="AF118" s="863">
        <f t="shared" si="138"/>
        <v>19132</v>
      </c>
      <c r="AG118" s="863">
        <f t="shared" si="138"/>
        <v>17902</v>
      </c>
      <c r="AH118" s="863">
        <f t="shared" si="138"/>
        <v>16984</v>
      </c>
      <c r="AI118" s="296">
        <f t="shared" si="138"/>
        <v>15910</v>
      </c>
      <c r="AJ118" s="296">
        <f t="shared" si="138"/>
        <v>14386</v>
      </c>
      <c r="AK118" s="861">
        <v>12847</v>
      </c>
      <c r="AL118" s="861">
        <v>12086</v>
      </c>
      <c r="AM118" s="861">
        <v>11326</v>
      </c>
      <c r="AO118" s="298">
        <f>MAX(AO107,AO108)</f>
        <v>20974</v>
      </c>
      <c r="AP118" s="298">
        <f>MAX(AP107,AP108)</f>
        <v>20624</v>
      </c>
      <c r="AQ118" s="297">
        <f t="shared" ref="AQ118:AV118" si="139">MAX(AQ107,AQ108)</f>
        <v>23601.5</v>
      </c>
      <c r="AR118" s="297">
        <f t="shared" si="139"/>
        <v>22796</v>
      </c>
      <c r="AS118" s="297">
        <f t="shared" si="139"/>
        <v>21324</v>
      </c>
      <c r="AT118" s="297">
        <f t="shared" si="139"/>
        <v>20248</v>
      </c>
      <c r="AU118" s="296">
        <f t="shared" si="139"/>
        <v>18984</v>
      </c>
      <c r="AV118" s="296">
        <f t="shared" si="139"/>
        <v>17170</v>
      </c>
      <c r="AW118" s="861">
        <v>16185</v>
      </c>
      <c r="AX118" s="861">
        <v>15218</v>
      </c>
      <c r="AY118" s="861">
        <v>14250</v>
      </c>
    </row>
    <row r="119" spans="1:51" s="295" customFormat="1" x14ac:dyDescent="0.2">
      <c r="D119" s="296" t="s">
        <v>249</v>
      </c>
      <c r="E119" s="296">
        <f>MIN(E107,E108)</f>
        <v>6207</v>
      </c>
      <c r="F119" s="296">
        <f>MIN(F107,F108)</f>
        <v>5918</v>
      </c>
      <c r="G119" s="296">
        <f t="shared" ref="G119:L119" si="140">MIN(G107,G108)</f>
        <v>5510</v>
      </c>
      <c r="H119" s="296">
        <f t="shared" si="140"/>
        <v>5168</v>
      </c>
      <c r="I119" s="296">
        <f t="shared" si="140"/>
        <v>4559</v>
      </c>
      <c r="J119" s="296">
        <f t="shared" si="140"/>
        <v>4350</v>
      </c>
      <c r="K119" s="296">
        <f t="shared" si="140"/>
        <v>4147</v>
      </c>
      <c r="L119" s="296">
        <f t="shared" si="140"/>
        <v>3900</v>
      </c>
      <c r="M119" s="861">
        <v>3552</v>
      </c>
      <c r="N119" s="861">
        <v>3342</v>
      </c>
      <c r="O119" s="861">
        <v>3156</v>
      </c>
      <c r="P119" s="862"/>
      <c r="Q119" s="859">
        <f>MIN(Q107,Q108)</f>
        <v>6778</v>
      </c>
      <c r="R119" s="859">
        <f>MIN(R107,R108)</f>
        <v>6462</v>
      </c>
      <c r="S119" s="863">
        <f t="shared" ref="S119:X119" si="141">MIN(S107,S108)</f>
        <v>5829</v>
      </c>
      <c r="T119" s="863">
        <f t="shared" si="141"/>
        <v>5650</v>
      </c>
      <c r="U119" s="863">
        <f t="shared" si="141"/>
        <v>4991</v>
      </c>
      <c r="V119" s="863">
        <f t="shared" si="141"/>
        <v>4782</v>
      </c>
      <c r="W119" s="296">
        <f t="shared" si="141"/>
        <v>4566</v>
      </c>
      <c r="X119" s="296">
        <f t="shared" si="141"/>
        <v>4332</v>
      </c>
      <c r="Y119" s="861">
        <v>3960</v>
      </c>
      <c r="Z119" s="861">
        <v>3726</v>
      </c>
      <c r="AA119" s="861">
        <v>3516</v>
      </c>
      <c r="AB119" s="862"/>
      <c r="AC119" s="859">
        <f>MIN(AC107,AC108)</f>
        <v>6928</v>
      </c>
      <c r="AD119" s="859">
        <f>MIN(AD107,AD108)</f>
        <v>11693</v>
      </c>
      <c r="AE119" s="863">
        <f t="shared" ref="AE119:AJ119" si="142">MIN(AE107,AE108)</f>
        <v>11285</v>
      </c>
      <c r="AF119" s="863">
        <f t="shared" si="142"/>
        <v>10943</v>
      </c>
      <c r="AG119" s="863">
        <f t="shared" si="142"/>
        <v>10069</v>
      </c>
      <c r="AH119" s="863">
        <f t="shared" si="142"/>
        <v>9861</v>
      </c>
      <c r="AI119" s="296">
        <f t="shared" si="142"/>
        <v>9658</v>
      </c>
      <c r="AJ119" s="296">
        <f t="shared" si="142"/>
        <v>9432</v>
      </c>
      <c r="AK119" s="861">
        <v>9102</v>
      </c>
      <c r="AL119" s="861">
        <v>8886</v>
      </c>
      <c r="AM119" s="861">
        <v>8700</v>
      </c>
      <c r="AO119" s="298">
        <f>MIN(AO107,AO108)</f>
        <v>8985</v>
      </c>
      <c r="AP119" s="298">
        <f>MIN(AP107,AP108)</f>
        <v>12406</v>
      </c>
      <c r="AQ119" s="297">
        <f t="shared" ref="AQ119:AV119" si="143">MIN(AQ107,AQ108)</f>
        <v>11775</v>
      </c>
      <c r="AR119" s="297">
        <f t="shared" si="143"/>
        <v>11596</v>
      </c>
      <c r="AS119" s="297">
        <f t="shared" si="143"/>
        <v>10664</v>
      </c>
      <c r="AT119" s="297">
        <f t="shared" si="143"/>
        <v>10456</v>
      </c>
      <c r="AU119" s="296">
        <f t="shared" si="143"/>
        <v>10114</v>
      </c>
      <c r="AV119" s="296">
        <f t="shared" si="143"/>
        <v>9864</v>
      </c>
      <c r="AW119" s="861">
        <v>9492</v>
      </c>
      <c r="AX119" s="861">
        <v>9270</v>
      </c>
      <c r="AY119" s="861">
        <v>9060</v>
      </c>
    </row>
    <row r="120" spans="1:51" s="295" customFormat="1" x14ac:dyDescent="0.2">
      <c r="D120" s="296" t="s">
        <v>248</v>
      </c>
      <c r="E120" s="296">
        <f>AVERAGE(E107,E108)</f>
        <v>6511.5</v>
      </c>
      <c r="F120" s="296">
        <f>AVERAGE(F107,F108)</f>
        <v>6297</v>
      </c>
      <c r="G120" s="296">
        <f t="shared" ref="G120:L120" si="144">AVERAGE(G107,G108)</f>
        <v>6020</v>
      </c>
      <c r="H120" s="296">
        <f t="shared" si="144"/>
        <v>5734</v>
      </c>
      <c r="I120" s="296">
        <f t="shared" si="144"/>
        <v>5241.5</v>
      </c>
      <c r="J120" s="296">
        <f t="shared" si="144"/>
        <v>4963</v>
      </c>
      <c r="K120" s="296">
        <f t="shared" si="144"/>
        <v>4672.5</v>
      </c>
      <c r="L120" s="296">
        <f t="shared" si="144"/>
        <v>4318</v>
      </c>
      <c r="M120" s="861">
        <v>3911</v>
      </c>
      <c r="N120" s="861">
        <v>3685</v>
      </c>
      <c r="O120" s="861">
        <v>6476</v>
      </c>
      <c r="P120" s="862"/>
      <c r="Q120" s="859">
        <f>AVERAGE(Q107,Q108)</f>
        <v>6849</v>
      </c>
      <c r="R120" s="859">
        <f>AVERAGE(R107,R108)</f>
        <v>6620</v>
      </c>
      <c r="S120" s="863">
        <f t="shared" ref="S120:X120" si="145">AVERAGE(S107,S108)</f>
        <v>6751.25</v>
      </c>
      <c r="T120" s="863">
        <f t="shared" si="145"/>
        <v>6528</v>
      </c>
      <c r="U120" s="863">
        <f t="shared" si="145"/>
        <v>5974.5</v>
      </c>
      <c r="V120" s="863">
        <f t="shared" si="145"/>
        <v>5674</v>
      </c>
      <c r="W120" s="296">
        <f t="shared" si="145"/>
        <v>5348</v>
      </c>
      <c r="X120" s="296">
        <f t="shared" si="145"/>
        <v>4956</v>
      </c>
      <c r="Y120" s="861">
        <v>4621</v>
      </c>
      <c r="Z120" s="861">
        <v>4352</v>
      </c>
      <c r="AA120" s="861">
        <v>4099</v>
      </c>
      <c r="AB120" s="862"/>
      <c r="AC120" s="859">
        <f>AVERAGE(AC107,AC108)</f>
        <v>13780</v>
      </c>
      <c r="AD120" s="859">
        <f>AVERAGE(AD107,AD108)</f>
        <v>15990.5</v>
      </c>
      <c r="AE120" s="863">
        <f t="shared" ref="AE120:AJ120" si="146">AVERAGE(AE107,AE108)</f>
        <v>15547.5</v>
      </c>
      <c r="AF120" s="863">
        <f t="shared" si="146"/>
        <v>15037.5</v>
      </c>
      <c r="AG120" s="863">
        <f t="shared" si="146"/>
        <v>13985.5</v>
      </c>
      <c r="AH120" s="863">
        <f t="shared" si="146"/>
        <v>13422.5</v>
      </c>
      <c r="AI120" s="296">
        <f t="shared" si="146"/>
        <v>12784</v>
      </c>
      <c r="AJ120" s="296">
        <f t="shared" si="146"/>
        <v>11909</v>
      </c>
      <c r="AK120" s="861">
        <v>10975</v>
      </c>
      <c r="AL120" s="861">
        <v>10486</v>
      </c>
      <c r="AM120" s="861">
        <v>10013</v>
      </c>
      <c r="AO120" s="298">
        <f>AVERAGE(AO107,AO108)</f>
        <v>14979.5</v>
      </c>
      <c r="AP120" s="298">
        <f>AVERAGE(AP107,AP108)</f>
        <v>16515</v>
      </c>
      <c r="AQ120" s="297">
        <f t="shared" ref="AQ120:AV120" si="147">AVERAGE(AQ107,AQ108)</f>
        <v>17688.25</v>
      </c>
      <c r="AR120" s="297">
        <f t="shared" si="147"/>
        <v>17196</v>
      </c>
      <c r="AS120" s="297">
        <f t="shared" si="147"/>
        <v>15994</v>
      </c>
      <c r="AT120" s="297">
        <f t="shared" si="147"/>
        <v>15352</v>
      </c>
      <c r="AU120" s="296">
        <f t="shared" si="147"/>
        <v>14549</v>
      </c>
      <c r="AV120" s="296">
        <f t="shared" si="147"/>
        <v>13517</v>
      </c>
      <c r="AW120" s="861">
        <v>12839</v>
      </c>
      <c r="AX120" s="861">
        <v>12244</v>
      </c>
      <c r="AY120" s="861">
        <v>11655</v>
      </c>
    </row>
    <row r="121" spans="1:51" s="295" customFormat="1" x14ac:dyDescent="0.2">
      <c r="D121" s="296" t="s">
        <v>563</v>
      </c>
      <c r="E121" s="296">
        <f>RANK(E108,(E107,E108))</f>
        <v>1</v>
      </c>
      <c r="F121" s="296">
        <f>RANK(F108,(F107,F108))</f>
        <v>1</v>
      </c>
      <c r="G121" s="296">
        <f>RANK(G108,(G107,G108))</f>
        <v>1</v>
      </c>
      <c r="H121" s="296">
        <f>RANK(H108,(H107,H108))</f>
        <v>1</v>
      </c>
      <c r="I121" s="296">
        <f>RANK(I108,(I107,I108))</f>
        <v>1</v>
      </c>
      <c r="J121" s="296">
        <f>RANK(J108,(J107,J108))</f>
        <v>1</v>
      </c>
      <c r="K121" s="296">
        <v>1</v>
      </c>
      <c r="L121" s="296">
        <v>1</v>
      </c>
      <c r="M121" s="296">
        <v>1</v>
      </c>
      <c r="N121" s="296">
        <v>1</v>
      </c>
      <c r="O121" s="296">
        <v>1</v>
      </c>
      <c r="Q121" s="296">
        <f>RANK(Q108,(Q107,Q108))</f>
        <v>1</v>
      </c>
      <c r="R121" s="296">
        <f>RANK(R108,(R107,R108))</f>
        <v>1</v>
      </c>
      <c r="S121" s="296">
        <f>RANK(S108,(S107,S108))</f>
        <v>1</v>
      </c>
      <c r="T121" s="296">
        <f>RANK(T108,(T107,T108))</f>
        <v>1</v>
      </c>
      <c r="U121" s="296">
        <f>RANK(U108,(U107,U108))</f>
        <v>1</v>
      </c>
      <c r="V121" s="296">
        <f>RANK(V108,(V107,V108))</f>
        <v>1</v>
      </c>
      <c r="W121" s="296">
        <v>1</v>
      </c>
      <c r="X121" s="296">
        <v>1</v>
      </c>
      <c r="Y121" s="296">
        <v>1</v>
      </c>
      <c r="Z121" s="296">
        <v>1</v>
      </c>
      <c r="AA121" s="296">
        <v>1</v>
      </c>
      <c r="AC121" s="296">
        <f>RANK(AC108,(AC107,AC108))</f>
        <v>1</v>
      </c>
      <c r="AD121" s="296">
        <f>RANK(AD108,(AD107,AD108))</f>
        <v>1</v>
      </c>
      <c r="AE121" s="296">
        <f>RANK(AE108,(AE107,AE108))</f>
        <v>1</v>
      </c>
      <c r="AF121" s="296">
        <f>RANK(AF108,(AF107,AF108))</f>
        <v>1</v>
      </c>
      <c r="AG121" s="296">
        <f>RANK(AG108,(AG107,AG108))</f>
        <v>1</v>
      </c>
      <c r="AH121" s="296">
        <f>RANK(AH108,(AH107,AH108))</f>
        <v>1</v>
      </c>
      <c r="AI121" s="296">
        <v>1</v>
      </c>
      <c r="AJ121" s="296">
        <v>1</v>
      </c>
      <c r="AK121" s="296">
        <v>1</v>
      </c>
      <c r="AL121" s="296">
        <v>1</v>
      </c>
      <c r="AM121" s="296">
        <v>1</v>
      </c>
      <c r="AO121" s="298">
        <f>RANK(AO108,(AO107,AO108))</f>
        <v>1</v>
      </c>
      <c r="AP121" s="296">
        <f>RANK(AP108,(AP107,AP108))</f>
        <v>1</v>
      </c>
      <c r="AQ121" s="296">
        <f>RANK(AQ108,(AQ107,AQ108))</f>
        <v>1</v>
      </c>
      <c r="AR121" s="296">
        <f>RANK(AR108,(AR107,AR108))</f>
        <v>1</v>
      </c>
      <c r="AS121" s="296">
        <f>RANK(AS108,(AS107,AS108))</f>
        <v>1</v>
      </c>
      <c r="AT121" s="296">
        <f>RANK(AT108,(AT107,AT108))</f>
        <v>1</v>
      </c>
      <c r="AU121" s="296">
        <v>1</v>
      </c>
      <c r="AV121" s="296">
        <v>1</v>
      </c>
      <c r="AW121" s="296">
        <v>1</v>
      </c>
      <c r="AX121" s="296">
        <v>1</v>
      </c>
      <c r="AY121" s="296">
        <v>1</v>
      </c>
    </row>
    <row r="125" spans="1:51" x14ac:dyDescent="0.2">
      <c r="E125" s="1057" t="s">
        <v>536</v>
      </c>
      <c r="F125" s="1057"/>
      <c r="G125" s="319"/>
      <c r="H125" s="319"/>
      <c r="I125" s="319"/>
      <c r="J125" s="319"/>
      <c r="K125" s="319"/>
      <c r="L125" s="319"/>
      <c r="M125" s="319"/>
      <c r="N125" s="319"/>
      <c r="O125" s="319"/>
      <c r="Q125" s="1057" t="s">
        <v>571</v>
      </c>
      <c r="R125" s="1057"/>
      <c r="S125" s="1058"/>
      <c r="T125" s="1058"/>
      <c r="U125" s="1058"/>
      <c r="V125" s="1058"/>
      <c r="W125" s="1058"/>
      <c r="X125" s="1058"/>
      <c r="Y125" s="1058"/>
      <c r="Z125" s="1058"/>
      <c r="AA125" s="1058"/>
      <c r="AC125" s="1057" t="s">
        <v>535</v>
      </c>
      <c r="AD125" s="1057"/>
      <c r="AE125" s="319"/>
      <c r="AF125" s="319"/>
      <c r="AG125" s="319"/>
      <c r="AH125" s="319"/>
      <c r="AI125" s="319"/>
      <c r="AJ125" s="319"/>
      <c r="AK125" s="319"/>
      <c r="AL125" s="319"/>
      <c r="AM125" s="319"/>
      <c r="AO125" s="1057" t="s">
        <v>570</v>
      </c>
      <c r="AP125" s="1057"/>
      <c r="AQ125" s="1057"/>
      <c r="AR125" s="1057"/>
      <c r="AS125" s="1057"/>
      <c r="AT125" s="1057"/>
      <c r="AU125" s="1057"/>
      <c r="AV125" s="1057"/>
      <c r="AW125" s="1057"/>
      <c r="AX125" s="1057"/>
      <c r="AY125" s="1057"/>
    </row>
    <row r="126" spans="1:51" x14ac:dyDescent="0.2">
      <c r="A126" s="318"/>
      <c r="B126" s="318"/>
      <c r="C126" s="318"/>
      <c r="D126" s="318" t="s">
        <v>562</v>
      </c>
      <c r="E126" s="315" t="s">
        <v>533</v>
      </c>
      <c r="F126" s="315" t="s">
        <v>236</v>
      </c>
      <c r="G126" s="315" t="s">
        <v>229</v>
      </c>
      <c r="H126" s="315" t="s">
        <v>224</v>
      </c>
      <c r="I126" s="315" t="s">
        <v>154</v>
      </c>
      <c r="J126" s="315" t="s">
        <v>146</v>
      </c>
      <c r="K126" s="315" t="s">
        <v>104</v>
      </c>
      <c r="L126" s="315" t="s">
        <v>103</v>
      </c>
      <c r="M126" s="315" t="s">
        <v>102</v>
      </c>
      <c r="N126" s="315" t="s">
        <v>101</v>
      </c>
      <c r="O126" s="315" t="s">
        <v>100</v>
      </c>
      <c r="Q126" s="315" t="s">
        <v>533</v>
      </c>
      <c r="R126" s="315" t="s">
        <v>236</v>
      </c>
      <c r="S126" s="317"/>
      <c r="T126" s="317"/>
      <c r="U126" s="317"/>
      <c r="V126" s="317"/>
      <c r="W126" s="317"/>
      <c r="X126" s="317"/>
      <c r="Y126" s="317"/>
      <c r="Z126" s="317"/>
      <c r="AA126" s="317"/>
      <c r="AB126" s="316"/>
      <c r="AC126" s="315" t="s">
        <v>533</v>
      </c>
      <c r="AD126" s="315" t="s">
        <v>236</v>
      </c>
      <c r="AE126" s="315" t="s">
        <v>229</v>
      </c>
      <c r="AF126" s="315" t="s">
        <v>224</v>
      </c>
      <c r="AG126" s="315" t="s">
        <v>154</v>
      </c>
      <c r="AH126" s="315" t="s">
        <v>146</v>
      </c>
      <c r="AI126" s="315" t="s">
        <v>104</v>
      </c>
      <c r="AJ126" s="315" t="s">
        <v>103</v>
      </c>
      <c r="AK126" s="315" t="s">
        <v>102</v>
      </c>
      <c r="AL126" s="315" t="s">
        <v>101</v>
      </c>
      <c r="AM126" s="315" t="s">
        <v>100</v>
      </c>
      <c r="AN126" s="316"/>
      <c r="AO126" s="315" t="s">
        <v>533</v>
      </c>
      <c r="AP126" s="315" t="s">
        <v>236</v>
      </c>
      <c r="AQ126" s="315" t="s">
        <v>229</v>
      </c>
      <c r="AR126" s="315" t="s">
        <v>224</v>
      </c>
      <c r="AS126" s="315" t="s">
        <v>154</v>
      </c>
      <c r="AT126" s="315" t="s">
        <v>146</v>
      </c>
      <c r="AU126" s="315" t="s">
        <v>104</v>
      </c>
      <c r="AV126" s="315" t="s">
        <v>103</v>
      </c>
      <c r="AW126" s="315" t="s">
        <v>102</v>
      </c>
      <c r="AX126" s="315" t="s">
        <v>101</v>
      </c>
      <c r="AY126" s="315" t="s">
        <v>100</v>
      </c>
    </row>
    <row r="127" spans="1:51" x14ac:dyDescent="0.2">
      <c r="A127" s="294" t="s">
        <v>263</v>
      </c>
      <c r="C127" s="294" t="s">
        <v>401</v>
      </c>
      <c r="D127" s="294" t="s">
        <v>561</v>
      </c>
      <c r="E127" s="294">
        <v>7056</v>
      </c>
      <c r="F127" s="294">
        <v>7056</v>
      </c>
      <c r="G127" s="294">
        <v>6808</v>
      </c>
      <c r="H127" s="294">
        <v>6558</v>
      </c>
      <c r="I127" s="294">
        <v>6536</v>
      </c>
      <c r="J127" s="294">
        <v>6536</v>
      </c>
      <c r="K127" s="294">
        <v>6536</v>
      </c>
      <c r="L127" s="294">
        <v>5294</v>
      </c>
      <c r="M127" s="294">
        <v>5090</v>
      </c>
      <c r="N127" s="294">
        <v>4112</v>
      </c>
      <c r="O127" s="294">
        <v>3728</v>
      </c>
      <c r="Q127" s="313">
        <v>8490</v>
      </c>
      <c r="R127" s="313"/>
      <c r="S127" s="313"/>
      <c r="T127" s="313"/>
      <c r="U127" s="313"/>
      <c r="V127" s="313"/>
      <c r="W127" s="313"/>
      <c r="X127" s="313"/>
      <c r="Y127" s="313"/>
      <c r="Z127" s="313"/>
      <c r="AA127" s="313"/>
      <c r="AC127" s="299">
        <v>18936</v>
      </c>
      <c r="AD127" s="299">
        <v>18936</v>
      </c>
      <c r="AE127" s="299">
        <v>17968</v>
      </c>
      <c r="AF127" s="299">
        <v>17718</v>
      </c>
      <c r="AG127" s="294">
        <v>17696</v>
      </c>
      <c r="AH127" s="294">
        <v>17696</v>
      </c>
      <c r="AI127" s="294">
        <v>17696</v>
      </c>
      <c r="AJ127" s="294">
        <v>16454</v>
      </c>
      <c r="AK127" s="294">
        <v>16250</v>
      </c>
      <c r="AL127" s="294">
        <v>14282</v>
      </c>
      <c r="AM127" s="294">
        <v>13898</v>
      </c>
      <c r="AO127" s="294">
        <v>17994</v>
      </c>
    </row>
    <row r="128" spans="1:51" x14ac:dyDescent="0.2">
      <c r="A128" s="294" t="s">
        <v>263</v>
      </c>
      <c r="C128" s="294" t="s">
        <v>401</v>
      </c>
      <c r="D128" s="294" t="s">
        <v>560</v>
      </c>
      <c r="E128" s="294">
        <v>6817</v>
      </c>
      <c r="F128" s="294">
        <v>6817</v>
      </c>
      <c r="G128" s="294">
        <v>6547</v>
      </c>
      <c r="H128" s="294">
        <v>6547</v>
      </c>
      <c r="I128" s="294">
        <v>6471</v>
      </c>
      <c r="J128" s="294">
        <v>6316</v>
      </c>
      <c r="K128" s="294">
        <v>6316</v>
      </c>
      <c r="L128" s="294">
        <v>5070</v>
      </c>
      <c r="M128" s="294">
        <v>4866</v>
      </c>
      <c r="N128" s="294">
        <v>3758</v>
      </c>
      <c r="O128" s="294">
        <v>3452</v>
      </c>
      <c r="Q128" s="294">
        <v>8251</v>
      </c>
      <c r="AC128" s="299">
        <v>18697</v>
      </c>
      <c r="AD128" s="299">
        <v>18697</v>
      </c>
      <c r="AE128" s="299">
        <v>17707</v>
      </c>
      <c r="AF128" s="299">
        <v>17707</v>
      </c>
      <c r="AG128" s="294">
        <v>17631</v>
      </c>
      <c r="AH128" s="294">
        <v>17476</v>
      </c>
      <c r="AI128" s="294">
        <v>17476</v>
      </c>
      <c r="AJ128" s="294">
        <v>16230</v>
      </c>
      <c r="AK128" s="294">
        <v>16026</v>
      </c>
      <c r="AL128" s="294">
        <v>13928</v>
      </c>
      <c r="AM128" s="294">
        <v>13622</v>
      </c>
      <c r="AO128" s="294">
        <v>17755</v>
      </c>
    </row>
    <row r="129" spans="1:41" x14ac:dyDescent="0.2">
      <c r="A129" s="294" t="s">
        <v>263</v>
      </c>
      <c r="C129" s="294" t="s">
        <v>401</v>
      </c>
      <c r="D129" s="294" t="s">
        <v>559</v>
      </c>
      <c r="E129" s="294">
        <v>7143</v>
      </c>
      <c r="F129" s="294">
        <v>7043</v>
      </c>
      <c r="G129" s="294">
        <v>6387</v>
      </c>
      <c r="H129" s="294">
        <v>6019</v>
      </c>
      <c r="I129" s="294">
        <v>5963</v>
      </c>
      <c r="J129" s="294">
        <v>5963</v>
      </c>
      <c r="K129" s="294">
        <v>5963</v>
      </c>
      <c r="L129" s="294">
        <v>4721</v>
      </c>
      <c r="M129" s="294">
        <v>4517</v>
      </c>
      <c r="N129" s="294">
        <v>3535</v>
      </c>
      <c r="O129" s="294">
        <v>3256</v>
      </c>
      <c r="Q129" s="294">
        <v>8577</v>
      </c>
      <c r="AC129" s="299">
        <v>19023</v>
      </c>
      <c r="AD129" s="299">
        <v>18923</v>
      </c>
      <c r="AE129" s="299">
        <v>17539</v>
      </c>
      <c r="AF129" s="299">
        <v>17179</v>
      </c>
      <c r="AG129" s="294">
        <v>17123</v>
      </c>
      <c r="AH129" s="294">
        <v>17123</v>
      </c>
      <c r="AI129" s="294">
        <v>17123</v>
      </c>
      <c r="AJ129" s="294">
        <v>15881</v>
      </c>
      <c r="AK129" s="294">
        <v>15677</v>
      </c>
      <c r="AL129" s="294">
        <v>13705</v>
      </c>
      <c r="AM129" s="294">
        <v>13426</v>
      </c>
      <c r="AO129" s="294">
        <v>18081</v>
      </c>
    </row>
    <row r="130" spans="1:41" x14ac:dyDescent="0.2">
      <c r="A130" s="294" t="s">
        <v>263</v>
      </c>
      <c r="B130" s="313" t="s">
        <v>262</v>
      </c>
      <c r="C130" s="313" t="s">
        <v>385</v>
      </c>
      <c r="D130" s="313" t="s">
        <v>558</v>
      </c>
      <c r="E130" s="313">
        <v>10408</v>
      </c>
      <c r="F130" s="313">
        <v>10090</v>
      </c>
      <c r="G130" s="313">
        <v>9519</v>
      </c>
      <c r="H130" s="313">
        <v>8281</v>
      </c>
      <c r="I130" s="313">
        <v>7327</v>
      </c>
      <c r="J130" s="313">
        <v>7327</v>
      </c>
      <c r="K130" s="313">
        <v>6545</v>
      </c>
      <c r="L130" s="313">
        <v>5615</v>
      </c>
      <c r="M130" s="313">
        <v>5204</v>
      </c>
      <c r="N130" s="313">
        <v>4667</v>
      </c>
      <c r="O130" s="313">
        <v>4156</v>
      </c>
      <c r="P130" s="313"/>
      <c r="Q130" s="313"/>
      <c r="R130" s="313"/>
      <c r="S130" s="313"/>
      <c r="T130" s="313"/>
      <c r="U130" s="313"/>
      <c r="V130" s="313"/>
      <c r="W130" s="313"/>
      <c r="X130" s="313"/>
      <c r="Y130" s="313"/>
      <c r="Z130" s="313"/>
      <c r="AA130" s="313"/>
      <c r="AB130" s="313"/>
      <c r="AC130" s="299">
        <v>26329</v>
      </c>
      <c r="AD130" s="299">
        <v>25547</v>
      </c>
      <c r="AE130" s="299">
        <v>24101</v>
      </c>
      <c r="AF130" s="299">
        <v>19851</v>
      </c>
      <c r="AG130" s="313">
        <v>17649</v>
      </c>
      <c r="AH130" s="313">
        <v>17649</v>
      </c>
      <c r="AI130" s="313">
        <v>16841</v>
      </c>
      <c r="AJ130" s="294">
        <v>15688</v>
      </c>
      <c r="AK130" s="294">
        <v>15596</v>
      </c>
      <c r="AL130" s="294">
        <v>14789</v>
      </c>
      <c r="AM130" s="294">
        <v>14515</v>
      </c>
    </row>
    <row r="131" spans="1:41" s="313" customFormat="1" x14ac:dyDescent="0.2">
      <c r="A131" s="313" t="s">
        <v>263</v>
      </c>
      <c r="B131" s="313" t="s">
        <v>262</v>
      </c>
      <c r="C131" s="313" t="s">
        <v>385</v>
      </c>
      <c r="D131" s="313" t="s">
        <v>557</v>
      </c>
      <c r="E131" s="313">
        <v>9049</v>
      </c>
      <c r="F131" s="313">
        <v>8609</v>
      </c>
      <c r="G131" s="313">
        <v>8105</v>
      </c>
      <c r="H131" s="313">
        <v>7601</v>
      </c>
      <c r="I131" s="313">
        <v>6923</v>
      </c>
      <c r="J131" s="313">
        <v>6462</v>
      </c>
      <c r="K131" s="313">
        <v>5592</v>
      </c>
      <c r="L131" s="313">
        <v>4924</v>
      </c>
      <c r="M131" s="313">
        <v>4646</v>
      </c>
      <c r="N131" s="313">
        <v>4196</v>
      </c>
      <c r="O131" s="313">
        <v>3709</v>
      </c>
      <c r="Q131" s="313">
        <v>10084</v>
      </c>
      <c r="AC131" s="299">
        <v>19696</v>
      </c>
      <c r="AD131" s="299">
        <v>18761</v>
      </c>
      <c r="AE131" s="299">
        <v>17817</v>
      </c>
      <c r="AF131" s="299">
        <v>17817</v>
      </c>
      <c r="AG131" s="313">
        <v>17763</v>
      </c>
      <c r="AH131" s="313">
        <v>17734</v>
      </c>
      <c r="AI131" s="313">
        <v>17626</v>
      </c>
      <c r="AJ131" s="313">
        <v>17616</v>
      </c>
      <c r="AK131" s="313">
        <v>17604</v>
      </c>
      <c r="AL131" s="313">
        <v>16512</v>
      </c>
      <c r="AM131" s="313">
        <v>14909</v>
      </c>
      <c r="AO131" s="313">
        <v>10084</v>
      </c>
    </row>
    <row r="132" spans="1:41" s="313" customFormat="1" x14ac:dyDescent="0.2">
      <c r="A132" s="313" t="s">
        <v>263</v>
      </c>
      <c r="B132" s="313" t="s">
        <v>262</v>
      </c>
      <c r="C132" s="313" t="s">
        <v>385</v>
      </c>
      <c r="D132" s="313" t="s">
        <v>556</v>
      </c>
      <c r="E132" s="313">
        <v>9243</v>
      </c>
      <c r="F132" s="313">
        <v>8972</v>
      </c>
      <c r="G132" s="313">
        <v>8395</v>
      </c>
      <c r="H132" s="313">
        <v>8008</v>
      </c>
      <c r="I132" s="313">
        <v>7206</v>
      </c>
      <c r="J132" s="313">
        <v>6870</v>
      </c>
      <c r="K132" s="313">
        <v>6548</v>
      </c>
      <c r="L132" s="313">
        <v>5883</v>
      </c>
      <c r="M132" s="313">
        <v>5453</v>
      </c>
      <c r="N132" s="313">
        <v>5063</v>
      </c>
      <c r="O132" s="313">
        <v>4194</v>
      </c>
      <c r="Q132" s="313">
        <v>9540</v>
      </c>
      <c r="AC132" s="299">
        <v>22440</v>
      </c>
      <c r="AD132" s="299">
        <v>21782</v>
      </c>
      <c r="AE132" s="299">
        <v>20353</v>
      </c>
      <c r="AF132" s="299">
        <v>19363</v>
      </c>
      <c r="AG132" s="313">
        <v>17344</v>
      </c>
      <c r="AH132" s="313">
        <v>17048</v>
      </c>
      <c r="AI132" s="313">
        <v>16726</v>
      </c>
      <c r="AJ132" s="313">
        <v>15382</v>
      </c>
      <c r="AK132" s="313">
        <v>14419</v>
      </c>
      <c r="AL132" s="313">
        <v>13837</v>
      </c>
      <c r="AM132" s="313">
        <v>12355</v>
      </c>
      <c r="AO132" s="313">
        <v>14040</v>
      </c>
    </row>
    <row r="133" spans="1:41" s="313" customFormat="1" x14ac:dyDescent="0.2">
      <c r="A133" s="313" t="s">
        <v>263</v>
      </c>
      <c r="B133" s="313" t="s">
        <v>262</v>
      </c>
      <c r="C133" s="313" t="s">
        <v>385</v>
      </c>
      <c r="D133" s="313" t="s">
        <v>555</v>
      </c>
      <c r="E133" s="313">
        <v>7666</v>
      </c>
      <c r="F133" s="313">
        <v>7353</v>
      </c>
      <c r="G133" s="313">
        <v>6930</v>
      </c>
      <c r="H133" s="313">
        <v>6420</v>
      </c>
      <c r="I133" s="313">
        <v>5744</v>
      </c>
      <c r="J133" s="313">
        <v>5341</v>
      </c>
      <c r="K133" s="313">
        <v>4834</v>
      </c>
      <c r="L133" s="313">
        <v>4093</v>
      </c>
      <c r="M133" s="313">
        <v>3639</v>
      </c>
      <c r="N133" s="313">
        <v>3241</v>
      </c>
      <c r="O133" s="313">
        <v>3033</v>
      </c>
      <c r="Q133" s="313">
        <v>16729</v>
      </c>
      <c r="AC133" s="299">
        <v>20847</v>
      </c>
      <c r="AD133" s="299">
        <v>20150</v>
      </c>
      <c r="AE133" s="299">
        <v>20096</v>
      </c>
      <c r="AF133" s="299">
        <v>20057</v>
      </c>
      <c r="AG133" s="313">
        <v>17837</v>
      </c>
      <c r="AH133" s="313">
        <v>17022</v>
      </c>
      <c r="AI133" s="313">
        <v>14053</v>
      </c>
      <c r="AJ133" s="313">
        <v>14440</v>
      </c>
      <c r="AK133" s="313">
        <v>13132</v>
      </c>
      <c r="AL133" s="313">
        <v>11949</v>
      </c>
      <c r="AM133" s="313">
        <v>11135</v>
      </c>
      <c r="AO133" s="313">
        <v>25373</v>
      </c>
    </row>
    <row r="134" spans="1:41" s="313" customFormat="1" x14ac:dyDescent="0.2">
      <c r="A134" s="313" t="s">
        <v>263</v>
      </c>
      <c r="B134" s="313" t="s">
        <v>262</v>
      </c>
      <c r="C134" s="313" t="s">
        <v>385</v>
      </c>
      <c r="D134" s="313" t="s">
        <v>554</v>
      </c>
      <c r="E134" s="313">
        <v>10114</v>
      </c>
      <c r="F134" s="313">
        <v>9802</v>
      </c>
      <c r="G134" s="313">
        <v>7753</v>
      </c>
      <c r="H134" s="313">
        <v>8451</v>
      </c>
      <c r="I134" s="313">
        <v>7343</v>
      </c>
      <c r="J134" s="313">
        <v>6449</v>
      </c>
      <c r="K134" s="313">
        <v>5504</v>
      </c>
      <c r="L134" s="313">
        <v>4776</v>
      </c>
      <c r="M134" s="313">
        <v>4064</v>
      </c>
      <c r="N134" s="313">
        <v>3778</v>
      </c>
      <c r="O134" s="313">
        <v>3574</v>
      </c>
      <c r="AC134" s="299">
        <v>21586</v>
      </c>
      <c r="AD134" s="299">
        <v>21274</v>
      </c>
      <c r="AE134" s="299">
        <v>20457</v>
      </c>
      <c r="AF134" s="299">
        <v>19455</v>
      </c>
      <c r="AG134" s="313">
        <v>17284</v>
      </c>
      <c r="AH134" s="313">
        <v>16318</v>
      </c>
      <c r="AI134" s="313">
        <v>15118</v>
      </c>
      <c r="AJ134" s="313">
        <v>14242</v>
      </c>
      <c r="AK134" s="313">
        <v>13260</v>
      </c>
      <c r="AL134" s="313">
        <v>12754</v>
      </c>
      <c r="AM134" s="313">
        <v>12406</v>
      </c>
    </row>
    <row r="135" spans="1:41" s="313" customFormat="1" x14ac:dyDescent="0.2">
      <c r="A135" s="313" t="s">
        <v>263</v>
      </c>
      <c r="C135" s="313" t="s">
        <v>377</v>
      </c>
      <c r="D135" s="313" t="s">
        <v>553</v>
      </c>
      <c r="E135" s="313">
        <v>7720</v>
      </c>
      <c r="F135" s="313">
        <v>7648</v>
      </c>
      <c r="G135" s="313">
        <v>7650</v>
      </c>
      <c r="H135" s="313">
        <v>7332</v>
      </c>
      <c r="I135" s="313">
        <v>6536</v>
      </c>
      <c r="J135" s="313">
        <v>6184</v>
      </c>
      <c r="K135" s="313">
        <v>5944</v>
      </c>
      <c r="L135" s="313">
        <v>5416</v>
      </c>
      <c r="M135" s="313">
        <v>4888</v>
      </c>
      <c r="N135" s="313">
        <v>4360</v>
      </c>
      <c r="O135" s="313">
        <v>3676</v>
      </c>
      <c r="Q135" s="313">
        <v>12064</v>
      </c>
      <c r="AC135" s="299">
        <v>20680</v>
      </c>
      <c r="AD135" s="299">
        <v>20608</v>
      </c>
      <c r="AE135" s="299">
        <v>20610</v>
      </c>
      <c r="AF135" s="299">
        <v>19788</v>
      </c>
      <c r="AG135" s="313">
        <v>18296</v>
      </c>
      <c r="AH135" s="313">
        <v>17776</v>
      </c>
      <c r="AI135" s="313">
        <v>17416</v>
      </c>
      <c r="AJ135" s="313">
        <v>15904</v>
      </c>
      <c r="AK135" s="313">
        <v>14392</v>
      </c>
      <c r="AL135" s="313">
        <v>12880</v>
      </c>
      <c r="AM135" s="313">
        <v>11212</v>
      </c>
      <c r="AO135" s="313">
        <v>26896</v>
      </c>
    </row>
    <row r="136" spans="1:41" s="313" customFormat="1" x14ac:dyDescent="0.2">
      <c r="A136" s="313" t="s">
        <v>263</v>
      </c>
      <c r="C136" s="313" t="s">
        <v>377</v>
      </c>
      <c r="D136" s="313" t="s">
        <v>552</v>
      </c>
      <c r="E136" s="313">
        <v>7512</v>
      </c>
      <c r="F136" s="313">
        <v>7440</v>
      </c>
      <c r="G136" s="313">
        <v>7440</v>
      </c>
      <c r="H136" s="313">
        <v>7152</v>
      </c>
      <c r="I136" s="313">
        <v>6336</v>
      </c>
      <c r="J136" s="313">
        <v>5602</v>
      </c>
      <c r="K136" s="313">
        <v>5146</v>
      </c>
      <c r="L136" s="313">
        <v>4666</v>
      </c>
      <c r="M136" s="313">
        <v>4186</v>
      </c>
      <c r="N136" s="313">
        <v>3706</v>
      </c>
      <c r="O136" s="313">
        <v>3226</v>
      </c>
      <c r="AC136" s="299">
        <v>20472</v>
      </c>
      <c r="AD136" s="299">
        <v>20400</v>
      </c>
      <c r="AE136" s="299">
        <v>20400</v>
      </c>
      <c r="AF136" s="299">
        <v>19608</v>
      </c>
      <c r="AG136" s="313">
        <v>17856</v>
      </c>
      <c r="AH136" s="313">
        <v>16666</v>
      </c>
      <c r="AI136" s="313">
        <v>15754</v>
      </c>
      <c r="AJ136" s="313">
        <v>14362</v>
      </c>
      <c r="AK136" s="313">
        <v>12970</v>
      </c>
      <c r="AL136" s="313">
        <v>11578</v>
      </c>
      <c r="AM136" s="313">
        <v>10186</v>
      </c>
    </row>
    <row r="137" spans="1:41" s="313" customFormat="1" x14ac:dyDescent="0.2">
      <c r="A137" s="313" t="s">
        <v>263</v>
      </c>
      <c r="B137" s="313" t="s">
        <v>262</v>
      </c>
      <c r="C137" s="313" t="s">
        <v>373</v>
      </c>
      <c r="D137" s="313" t="s">
        <v>551</v>
      </c>
      <c r="E137" s="313">
        <v>6618</v>
      </c>
      <c r="F137" s="313">
        <v>6334</v>
      </c>
      <c r="G137" s="313">
        <v>6120</v>
      </c>
      <c r="H137" s="313">
        <v>6000</v>
      </c>
      <c r="I137" s="313">
        <v>5562</v>
      </c>
      <c r="J137" s="313">
        <v>5562</v>
      </c>
      <c r="K137" s="313">
        <v>5348</v>
      </c>
      <c r="L137" s="313">
        <v>4998</v>
      </c>
      <c r="M137" s="313">
        <v>4596</v>
      </c>
      <c r="N137" s="313">
        <v>4296</v>
      </c>
      <c r="O137" s="313">
        <v>4092</v>
      </c>
      <c r="AC137" s="299">
        <v>19236</v>
      </c>
      <c r="AD137" s="299">
        <v>18410</v>
      </c>
      <c r="AE137" s="299">
        <v>17620</v>
      </c>
      <c r="AF137" s="299">
        <v>17000</v>
      </c>
      <c r="AG137" s="313">
        <v>15476</v>
      </c>
      <c r="AH137" s="313">
        <v>15476</v>
      </c>
      <c r="AI137" s="313">
        <v>14880</v>
      </c>
      <c r="AJ137" s="313">
        <v>13906</v>
      </c>
      <c r="AK137" s="313">
        <v>12786</v>
      </c>
      <c r="AL137" s="313">
        <v>11950</v>
      </c>
      <c r="AM137" s="313">
        <v>11382</v>
      </c>
    </row>
    <row r="138" spans="1:41" s="313" customFormat="1" x14ac:dyDescent="0.2">
      <c r="A138" s="313" t="s">
        <v>263</v>
      </c>
      <c r="B138" s="313" t="s">
        <v>262</v>
      </c>
      <c r="C138" s="313" t="s">
        <v>363</v>
      </c>
      <c r="D138" s="313" t="s">
        <v>550</v>
      </c>
      <c r="E138" s="313">
        <v>5956</v>
      </c>
      <c r="F138" s="313">
        <v>5861</v>
      </c>
      <c r="G138" s="313">
        <v>4922</v>
      </c>
      <c r="H138" s="313">
        <v>4871</v>
      </c>
      <c r="I138" s="313">
        <v>4817</v>
      </c>
      <c r="J138" s="313">
        <v>4817</v>
      </c>
      <c r="K138" s="313">
        <v>4643</v>
      </c>
      <c r="L138" s="313">
        <v>4477</v>
      </c>
      <c r="M138" s="313">
        <v>4440</v>
      </c>
      <c r="N138" s="313">
        <v>4390</v>
      </c>
      <c r="O138" s="313">
        <v>4356</v>
      </c>
      <c r="Q138" s="313">
        <v>7201</v>
      </c>
      <c r="AC138" s="299">
        <v>18666</v>
      </c>
      <c r="AD138" s="299">
        <v>18171</v>
      </c>
      <c r="AE138" s="299">
        <v>17232</v>
      </c>
      <c r="AF138" s="299">
        <v>16947</v>
      </c>
      <c r="AG138" s="313">
        <v>16657</v>
      </c>
      <c r="AH138" s="313">
        <v>16657</v>
      </c>
      <c r="AI138" s="313">
        <v>15923</v>
      </c>
      <c r="AJ138" s="313">
        <v>15224</v>
      </c>
      <c r="AK138" s="313">
        <v>15132</v>
      </c>
      <c r="AL138" s="313">
        <v>15132</v>
      </c>
      <c r="AM138" s="313">
        <v>14493</v>
      </c>
      <c r="AO138" s="313">
        <v>20254</v>
      </c>
    </row>
    <row r="139" spans="1:41" s="313" customFormat="1" x14ac:dyDescent="0.2">
      <c r="A139" s="313" t="s">
        <v>263</v>
      </c>
      <c r="B139" s="313" t="s">
        <v>262</v>
      </c>
      <c r="C139" s="313" t="s">
        <v>363</v>
      </c>
      <c r="D139" s="313" t="s">
        <v>549</v>
      </c>
      <c r="E139" s="313">
        <v>7411</v>
      </c>
      <c r="F139" s="313">
        <v>7139</v>
      </c>
      <c r="G139" s="313">
        <v>6623</v>
      </c>
      <c r="H139" s="313">
        <v>6579</v>
      </c>
      <c r="I139" s="313">
        <v>6464</v>
      </c>
      <c r="J139" s="313">
        <v>6435</v>
      </c>
      <c r="K139" s="313">
        <v>6175</v>
      </c>
      <c r="L139" s="313">
        <v>5928</v>
      </c>
      <c r="M139" s="313">
        <v>5972</v>
      </c>
      <c r="N139" s="313">
        <v>5710</v>
      </c>
      <c r="O139" s="313">
        <v>5682</v>
      </c>
      <c r="Q139" s="313">
        <v>7980</v>
      </c>
      <c r="AC139" s="299">
        <v>22575</v>
      </c>
      <c r="AD139" s="299">
        <v>21969</v>
      </c>
      <c r="AE139" s="299">
        <v>20046</v>
      </c>
      <c r="AF139" s="299">
        <v>19611</v>
      </c>
      <c r="AG139" s="313">
        <v>18606</v>
      </c>
      <c r="AH139" s="313">
        <v>18080</v>
      </c>
      <c r="AI139" s="313">
        <v>17269</v>
      </c>
      <c r="AJ139" s="313">
        <v>17174</v>
      </c>
      <c r="AK139" s="313">
        <v>16390</v>
      </c>
      <c r="AL139" s="313">
        <v>15422</v>
      </c>
      <c r="AM139" s="313">
        <v>15065</v>
      </c>
      <c r="AO139" s="313">
        <v>25830</v>
      </c>
    </row>
    <row r="140" spans="1:41" s="313" customFormat="1" x14ac:dyDescent="0.2">
      <c r="A140" s="313" t="s">
        <v>263</v>
      </c>
      <c r="B140" s="313" t="s">
        <v>262</v>
      </c>
      <c r="C140" s="313" t="s">
        <v>363</v>
      </c>
      <c r="D140" s="313" t="s">
        <v>548</v>
      </c>
      <c r="E140" s="313">
        <v>5717</v>
      </c>
      <c r="F140" s="313">
        <v>5502</v>
      </c>
      <c r="G140" s="313">
        <v>4284</v>
      </c>
      <c r="H140" s="313">
        <v>4226</v>
      </c>
      <c r="I140" s="313">
        <v>4141</v>
      </c>
      <c r="J140" s="313">
        <v>4109</v>
      </c>
      <c r="K140" s="313">
        <v>3945</v>
      </c>
      <c r="L140" s="313">
        <v>3696</v>
      </c>
      <c r="M140" s="313">
        <v>3689</v>
      </c>
      <c r="N140" s="313">
        <v>3674</v>
      </c>
      <c r="O140" s="313">
        <v>3659</v>
      </c>
      <c r="AC140" s="299">
        <v>17180</v>
      </c>
      <c r="AD140" s="299">
        <v>16716</v>
      </c>
      <c r="AE140" s="299">
        <v>16278</v>
      </c>
      <c r="AF140" s="299">
        <v>15783</v>
      </c>
      <c r="AG140" s="313">
        <v>14861</v>
      </c>
      <c r="AH140" s="313">
        <v>14429</v>
      </c>
      <c r="AI140" s="313">
        <v>13778</v>
      </c>
      <c r="AJ140" s="313">
        <v>12824</v>
      </c>
      <c r="AK140" s="313">
        <v>12740</v>
      </c>
      <c r="AL140" s="313">
        <v>12564</v>
      </c>
      <c r="AM140" s="313">
        <v>12427</v>
      </c>
    </row>
    <row r="141" spans="1:41" s="313" customFormat="1" x14ac:dyDescent="0.2">
      <c r="A141" s="313" t="s">
        <v>263</v>
      </c>
      <c r="C141" s="313" t="s">
        <v>357</v>
      </c>
      <c r="D141" s="313" t="s">
        <v>547</v>
      </c>
      <c r="E141" s="313">
        <v>6768</v>
      </c>
      <c r="F141" s="313">
        <v>6554</v>
      </c>
      <c r="G141" s="313">
        <v>6348</v>
      </c>
      <c r="H141" s="313">
        <v>6173</v>
      </c>
      <c r="I141" s="313">
        <v>5846</v>
      </c>
      <c r="J141" s="313">
        <v>5717</v>
      </c>
      <c r="K141" s="313">
        <v>5607</v>
      </c>
      <c r="L141" s="313">
        <v>5395</v>
      </c>
      <c r="M141" s="313">
        <v>5249</v>
      </c>
      <c r="N141" s="313">
        <v>5084</v>
      </c>
      <c r="O141" s="313">
        <v>4773</v>
      </c>
      <c r="AC141" s="299">
        <v>9546</v>
      </c>
      <c r="AD141" s="299">
        <v>9225</v>
      </c>
      <c r="AE141" s="299">
        <v>8917</v>
      </c>
      <c r="AF141" s="299">
        <v>8680</v>
      </c>
      <c r="AG141" s="313">
        <v>8197</v>
      </c>
      <c r="AH141" s="313">
        <v>7979</v>
      </c>
      <c r="AI141" s="313">
        <v>12977</v>
      </c>
      <c r="AJ141" s="313">
        <v>12585</v>
      </c>
      <c r="AK141" s="313">
        <v>12195</v>
      </c>
      <c r="AL141" s="313">
        <v>11796</v>
      </c>
      <c r="AM141" s="313">
        <v>11167</v>
      </c>
    </row>
    <row r="142" spans="1:41" s="313" customFormat="1" x14ac:dyDescent="0.2">
      <c r="A142" s="313" t="s">
        <v>263</v>
      </c>
      <c r="C142" s="313" t="s">
        <v>357</v>
      </c>
      <c r="D142" s="313" t="s">
        <v>546</v>
      </c>
      <c r="E142" s="313">
        <v>6666</v>
      </c>
      <c r="F142" s="313">
        <v>6456</v>
      </c>
      <c r="G142" s="313">
        <v>6254</v>
      </c>
      <c r="H142" s="313">
        <v>6380</v>
      </c>
      <c r="I142" s="313">
        <v>6353</v>
      </c>
      <c r="J142" s="313">
        <v>6193</v>
      </c>
      <c r="K142" s="313">
        <v>6084</v>
      </c>
      <c r="L142" s="313">
        <v>5937</v>
      </c>
      <c r="M142" s="313">
        <v>5793</v>
      </c>
      <c r="N142" s="313">
        <v>5654</v>
      </c>
      <c r="O142" s="313">
        <v>5438</v>
      </c>
      <c r="AC142" s="299">
        <v>9399</v>
      </c>
      <c r="AD142" s="299">
        <v>9084</v>
      </c>
      <c r="AE142" s="299">
        <v>8781</v>
      </c>
      <c r="AF142" s="299">
        <v>8845</v>
      </c>
      <c r="AG142" s="313">
        <v>8675</v>
      </c>
      <c r="AH142" s="313">
        <v>8436</v>
      </c>
      <c r="AI142" s="313">
        <v>8271</v>
      </c>
      <c r="AJ142" s="313">
        <v>8072</v>
      </c>
      <c r="AK142" s="313">
        <v>7849</v>
      </c>
      <c r="AL142" s="313">
        <v>7646</v>
      </c>
      <c r="AM142" s="313">
        <v>7335</v>
      </c>
    </row>
    <row r="143" spans="1:41" s="313" customFormat="1" x14ac:dyDescent="0.2">
      <c r="A143" s="313" t="s">
        <v>263</v>
      </c>
      <c r="C143" s="313" t="s">
        <v>357</v>
      </c>
      <c r="D143" s="313" t="s">
        <v>545</v>
      </c>
      <c r="E143" s="313">
        <v>7626</v>
      </c>
      <c r="F143" s="313">
        <v>7406</v>
      </c>
      <c r="G143" s="313">
        <v>7195</v>
      </c>
      <c r="H143" s="313">
        <v>6800</v>
      </c>
      <c r="I143" s="313">
        <v>6516</v>
      </c>
      <c r="J143" s="313">
        <v>6334</v>
      </c>
      <c r="K143" s="313">
        <v>6197</v>
      </c>
      <c r="L143" s="313">
        <v>6076</v>
      </c>
      <c r="M143" s="313">
        <v>5926</v>
      </c>
      <c r="N143" s="313">
        <v>5781</v>
      </c>
      <c r="O143" s="313">
        <v>5584</v>
      </c>
      <c r="AC143" s="299">
        <v>17166</v>
      </c>
      <c r="AD143" s="299">
        <v>16580</v>
      </c>
      <c r="AE143" s="299">
        <v>16016</v>
      </c>
      <c r="AF143" s="299">
        <v>15406</v>
      </c>
      <c r="AG143" s="313">
        <v>14596</v>
      </c>
      <c r="AH143" s="313">
        <v>14111</v>
      </c>
      <c r="AI143" s="313">
        <v>13783</v>
      </c>
      <c r="AJ143" s="313">
        <v>13478</v>
      </c>
      <c r="AK143" s="313">
        <v>13078</v>
      </c>
      <c r="AL143" s="313">
        <v>12691</v>
      </c>
      <c r="AM143" s="313">
        <v>12165</v>
      </c>
    </row>
    <row r="144" spans="1:41" s="313" customFormat="1" x14ac:dyDescent="0.2">
      <c r="A144" s="313" t="s">
        <v>263</v>
      </c>
      <c r="B144" s="313" t="s">
        <v>262</v>
      </c>
      <c r="C144" s="313" t="s">
        <v>333</v>
      </c>
      <c r="D144" s="313" t="s">
        <v>544</v>
      </c>
      <c r="E144" s="313">
        <v>5438</v>
      </c>
      <c r="F144" s="313">
        <v>5280</v>
      </c>
      <c r="G144" s="313">
        <v>5130</v>
      </c>
      <c r="H144" s="313">
        <v>4868</v>
      </c>
      <c r="I144" s="313">
        <v>4463</v>
      </c>
      <c r="J144" s="313">
        <v>4313</v>
      </c>
      <c r="K144" s="313">
        <v>4005</v>
      </c>
      <c r="L144" s="313">
        <v>3563</v>
      </c>
      <c r="M144" s="313">
        <v>3248</v>
      </c>
      <c r="N144" s="313">
        <v>2925</v>
      </c>
      <c r="O144" s="313">
        <v>2693</v>
      </c>
      <c r="Q144" s="313">
        <v>5880</v>
      </c>
      <c r="AC144" s="299">
        <v>17458</v>
      </c>
      <c r="AD144" s="299">
        <v>16868</v>
      </c>
      <c r="AE144" s="299">
        <v>16718</v>
      </c>
      <c r="AF144" s="299">
        <v>15554</v>
      </c>
      <c r="AG144" s="313">
        <v>14738</v>
      </c>
      <c r="AH144" s="313">
        <v>14588</v>
      </c>
      <c r="AI144" s="313">
        <v>14050</v>
      </c>
      <c r="AJ144" s="313">
        <v>13381</v>
      </c>
      <c r="AK144" s="313">
        <v>12512</v>
      </c>
      <c r="AL144" s="313">
        <v>11323</v>
      </c>
      <c r="AM144" s="313">
        <v>10790</v>
      </c>
      <c r="AO144" s="313">
        <v>17900</v>
      </c>
    </row>
    <row r="145" spans="1:42" s="313" customFormat="1" x14ac:dyDescent="0.2">
      <c r="A145" s="313" t="s">
        <v>263</v>
      </c>
      <c r="C145" s="313" t="s">
        <v>315</v>
      </c>
      <c r="D145" s="313" t="s">
        <v>543</v>
      </c>
      <c r="E145" s="313">
        <v>9985</v>
      </c>
      <c r="F145" s="313">
        <v>9540</v>
      </c>
      <c r="G145" s="313">
        <v>9103</v>
      </c>
      <c r="H145" s="313">
        <v>8839</v>
      </c>
      <c r="I145" s="313">
        <v>8549</v>
      </c>
      <c r="J145" s="313">
        <v>8307</v>
      </c>
      <c r="K145" s="313">
        <v>7889</v>
      </c>
      <c r="L145" s="313">
        <v>7260</v>
      </c>
      <c r="M145" s="313">
        <v>6570</v>
      </c>
      <c r="N145" s="313">
        <v>6297</v>
      </c>
      <c r="O145" s="313">
        <v>6093</v>
      </c>
      <c r="Q145" s="313">
        <v>17086</v>
      </c>
      <c r="AC145" s="299">
        <v>28056</v>
      </c>
      <c r="AD145" s="299">
        <v>26831</v>
      </c>
      <c r="AE145" s="299">
        <v>25570</v>
      </c>
      <c r="AF145" s="299">
        <v>24826</v>
      </c>
      <c r="AG145" s="313">
        <v>23671</v>
      </c>
      <c r="AH145" s="313">
        <v>23670</v>
      </c>
      <c r="AI145" s="313">
        <v>22212</v>
      </c>
      <c r="AJ145" s="313">
        <v>20400</v>
      </c>
      <c r="AK145" s="313">
        <v>18090</v>
      </c>
      <c r="AL145" s="313">
        <v>16692</v>
      </c>
      <c r="AM145" s="313">
        <v>16128</v>
      </c>
      <c r="AO145" s="313">
        <v>27520</v>
      </c>
    </row>
    <row r="146" spans="1:42" s="313" customFormat="1" x14ac:dyDescent="0.2">
      <c r="A146" s="313" t="s">
        <v>263</v>
      </c>
      <c r="C146" s="313" t="s">
        <v>310</v>
      </c>
      <c r="D146" s="313" t="s">
        <v>542</v>
      </c>
      <c r="E146" s="313">
        <v>8733</v>
      </c>
      <c r="F146" s="313">
        <v>8602</v>
      </c>
      <c r="G146" s="313">
        <v>8004</v>
      </c>
      <c r="H146" s="313">
        <v>8004</v>
      </c>
      <c r="I146" s="313">
        <v>7617</v>
      </c>
      <c r="J146" s="313">
        <v>7320</v>
      </c>
      <c r="K146" s="313">
        <v>6960</v>
      </c>
      <c r="L146" s="313">
        <v>6516</v>
      </c>
      <c r="M146" s="313">
        <v>6227</v>
      </c>
      <c r="N146" s="313">
        <v>5877</v>
      </c>
      <c r="O146" s="313">
        <v>5441</v>
      </c>
      <c r="Q146" s="313">
        <v>8762</v>
      </c>
      <c r="AC146" s="299">
        <v>11778</v>
      </c>
      <c r="AD146" s="299">
        <v>11602</v>
      </c>
      <c r="AE146" s="299">
        <v>10920</v>
      </c>
      <c r="AF146" s="299">
        <v>10586</v>
      </c>
      <c r="AG146" s="313">
        <v>9617</v>
      </c>
      <c r="AH146" s="313">
        <v>9185</v>
      </c>
      <c r="AI146" s="313">
        <v>8675</v>
      </c>
      <c r="AJ146" s="313">
        <v>8013</v>
      </c>
      <c r="AK146" s="313">
        <v>6227</v>
      </c>
      <c r="AL146" s="313">
        <v>7197</v>
      </c>
      <c r="AM146" s="313">
        <v>6678</v>
      </c>
      <c r="AO146" s="313">
        <v>15583</v>
      </c>
    </row>
    <row r="147" spans="1:42" s="313" customFormat="1" x14ac:dyDescent="0.2">
      <c r="A147" s="313" t="s">
        <v>263</v>
      </c>
      <c r="C147" s="313" t="s">
        <v>310</v>
      </c>
      <c r="D147" s="313" t="s">
        <v>541</v>
      </c>
      <c r="E147" s="313">
        <v>9276</v>
      </c>
      <c r="F147" s="313">
        <v>9147</v>
      </c>
      <c r="G147" s="313">
        <v>8927</v>
      </c>
      <c r="H147" s="313">
        <v>8754</v>
      </c>
      <c r="I147" s="313">
        <v>8226</v>
      </c>
      <c r="J147" s="313">
        <v>7950</v>
      </c>
      <c r="K147" s="313">
        <v>7621</v>
      </c>
      <c r="L147" s="313">
        <v>7171</v>
      </c>
      <c r="M147" s="313">
        <v>6872</v>
      </c>
      <c r="N147" s="313">
        <v>6497</v>
      </c>
      <c r="O147" s="313">
        <v>6045</v>
      </c>
      <c r="Q147" s="313">
        <v>8618</v>
      </c>
      <c r="AC147" s="299">
        <v>12249</v>
      </c>
      <c r="AD147" s="299">
        <v>12077</v>
      </c>
      <c r="AE147" s="299">
        <v>11843</v>
      </c>
      <c r="AF147" s="299">
        <v>11336</v>
      </c>
      <c r="AG147" s="313">
        <v>10226</v>
      </c>
      <c r="AH147" s="313">
        <v>9815</v>
      </c>
      <c r="AI147" s="313">
        <v>9336</v>
      </c>
      <c r="AJ147" s="313">
        <v>8668</v>
      </c>
      <c r="AK147" s="313">
        <v>6872</v>
      </c>
      <c r="AL147" s="313">
        <v>7817</v>
      </c>
      <c r="AM147" s="313">
        <v>7282</v>
      </c>
      <c r="AO147" s="313">
        <v>15264</v>
      </c>
    </row>
    <row r="148" spans="1:42" s="320" customFormat="1" x14ac:dyDescent="0.2">
      <c r="A148" s="321" t="s">
        <v>263</v>
      </c>
      <c r="B148" s="321" t="s">
        <v>262</v>
      </c>
      <c r="C148" s="321" t="s">
        <v>306</v>
      </c>
      <c r="D148" s="321" t="s">
        <v>196</v>
      </c>
      <c r="E148" s="321">
        <v>5253</v>
      </c>
      <c r="F148" s="321">
        <v>5080</v>
      </c>
      <c r="G148" s="321">
        <v>4839</v>
      </c>
      <c r="H148" s="321">
        <v>4620</v>
      </c>
      <c r="I148" s="321">
        <v>4285</v>
      </c>
      <c r="J148" s="321">
        <v>4089</v>
      </c>
      <c r="K148" s="321">
        <v>3888</v>
      </c>
      <c r="L148" s="321">
        <v>3489</v>
      </c>
      <c r="M148" s="321">
        <v>3145</v>
      </c>
      <c r="N148" s="321">
        <v>3893</v>
      </c>
      <c r="O148" s="321">
        <v>2734</v>
      </c>
      <c r="P148" s="321"/>
      <c r="Q148" s="321">
        <v>12795</v>
      </c>
      <c r="R148" s="321"/>
      <c r="S148" s="321"/>
      <c r="T148" s="321"/>
      <c r="U148" s="321"/>
      <c r="V148" s="321"/>
      <c r="W148" s="321"/>
      <c r="X148" s="321"/>
      <c r="Y148" s="321"/>
      <c r="Z148" s="321"/>
      <c r="AA148" s="321"/>
      <c r="AB148" s="321"/>
      <c r="AC148" s="321">
        <v>15051</v>
      </c>
      <c r="AD148" s="321">
        <v>14548</v>
      </c>
      <c r="AE148" s="321">
        <v>13855</v>
      </c>
      <c r="AF148" s="321">
        <v>13206</v>
      </c>
      <c r="AG148" s="320">
        <v>12299</v>
      </c>
      <c r="AH148" s="320">
        <v>11721</v>
      </c>
      <c r="AI148" s="320">
        <v>13560</v>
      </c>
      <c r="AJ148" s="320">
        <v>12117</v>
      </c>
      <c r="AK148" s="320">
        <v>10897</v>
      </c>
      <c r="AL148" s="320">
        <v>10063</v>
      </c>
      <c r="AM148" s="320">
        <v>9466</v>
      </c>
      <c r="AO148" s="321">
        <v>30795</v>
      </c>
    </row>
    <row r="149" spans="1:42" s="307" customFormat="1" ht="12.75" hidden="1" customHeight="1" x14ac:dyDescent="0.2">
      <c r="A149" s="307" t="s">
        <v>263</v>
      </c>
      <c r="B149" s="307" t="s">
        <v>262</v>
      </c>
      <c r="C149" s="307" t="s">
        <v>306</v>
      </c>
      <c r="D149" s="307" t="s">
        <v>195</v>
      </c>
      <c r="AG149" s="307">
        <v>13311</v>
      </c>
      <c r="AH149" s="307">
        <v>13518</v>
      </c>
      <c r="AI149" s="307">
        <v>12940</v>
      </c>
      <c r="AK149" s="307">
        <v>11888</v>
      </c>
      <c r="AL149" s="307">
        <v>11514</v>
      </c>
      <c r="AM149" s="307">
        <v>11028</v>
      </c>
    </row>
    <row r="151" spans="1:42" s="295" customFormat="1" x14ac:dyDescent="0.2">
      <c r="D151" s="296" t="s">
        <v>259</v>
      </c>
      <c r="E151" s="296">
        <f>COUNT(E127:E149)</f>
        <v>22</v>
      </c>
      <c r="F151" s="296">
        <f>COUNT(F127:F149)</f>
        <v>22</v>
      </c>
      <c r="G151" s="296">
        <f t="shared" ref="G151:L151" si="148">COUNT(G127:G149)</f>
        <v>22</v>
      </c>
      <c r="H151" s="296">
        <f t="shared" si="148"/>
        <v>22</v>
      </c>
      <c r="I151" s="296">
        <f t="shared" si="148"/>
        <v>22</v>
      </c>
      <c r="J151" s="296">
        <f t="shared" si="148"/>
        <v>22</v>
      </c>
      <c r="K151" s="296">
        <f t="shared" si="148"/>
        <v>22</v>
      </c>
      <c r="L151" s="296">
        <f t="shared" si="148"/>
        <v>22</v>
      </c>
      <c r="M151" s="296">
        <v>23</v>
      </c>
      <c r="N151" s="296">
        <v>23</v>
      </c>
      <c r="O151" s="296">
        <v>23</v>
      </c>
      <c r="Q151" s="296">
        <f>COUNT(Q127:Q149)</f>
        <v>14</v>
      </c>
      <c r="R151" s="296"/>
      <c r="AC151" s="298">
        <f>COUNT(AC127:AC149)</f>
        <v>22</v>
      </c>
      <c r="AD151" s="298">
        <f>COUNT(AD127:AD149)</f>
        <v>22</v>
      </c>
      <c r="AE151" s="297">
        <f t="shared" ref="AE151:AJ151" si="149">COUNT(AE127:AE149)</f>
        <v>22</v>
      </c>
      <c r="AF151" s="297">
        <f t="shared" si="149"/>
        <v>22</v>
      </c>
      <c r="AG151" s="297">
        <f t="shared" si="149"/>
        <v>23</v>
      </c>
      <c r="AH151" s="297">
        <f t="shared" si="149"/>
        <v>23</v>
      </c>
      <c r="AI151" s="296">
        <f t="shared" si="149"/>
        <v>23</v>
      </c>
      <c r="AJ151" s="296">
        <f t="shared" si="149"/>
        <v>22</v>
      </c>
      <c r="AK151" s="296">
        <v>23</v>
      </c>
      <c r="AL151" s="296">
        <v>23</v>
      </c>
      <c r="AM151" s="296">
        <v>23</v>
      </c>
      <c r="AO151" s="296">
        <f>COUNT(AO127:AO149)</f>
        <v>14</v>
      </c>
      <c r="AP151" s="296"/>
    </row>
    <row r="152" spans="1:42" s="295" customFormat="1" x14ac:dyDescent="0.2">
      <c r="D152" s="296" t="s">
        <v>257</v>
      </c>
      <c r="E152" s="296">
        <f>MAX(E127:E149)</f>
        <v>10408</v>
      </c>
      <c r="F152" s="296">
        <f>MAX(F127:F149)</f>
        <v>10090</v>
      </c>
      <c r="G152" s="296">
        <f>MAX(G127:G149)</f>
        <v>9519</v>
      </c>
      <c r="H152" s="296">
        <f>MAX(H127:H149)</f>
        <v>8839</v>
      </c>
      <c r="I152" s="296">
        <f t="shared" ref="I152:O152" si="150">MAX(I127:I149)</f>
        <v>8549</v>
      </c>
      <c r="J152" s="296">
        <f t="shared" si="150"/>
        <v>8307</v>
      </c>
      <c r="K152" s="296">
        <f t="shared" si="150"/>
        <v>7889</v>
      </c>
      <c r="L152" s="296">
        <f t="shared" si="150"/>
        <v>7260</v>
      </c>
      <c r="M152" s="861">
        <f t="shared" si="150"/>
        <v>6872</v>
      </c>
      <c r="N152" s="861">
        <f t="shared" si="150"/>
        <v>6497</v>
      </c>
      <c r="O152" s="861">
        <f t="shared" si="150"/>
        <v>6093</v>
      </c>
      <c r="Q152" s="296">
        <f>MAX(Q127:Q149)</f>
        <v>17086</v>
      </c>
      <c r="R152" s="296"/>
      <c r="AC152" s="298">
        <f>MAX(AC127:AC149)</f>
        <v>28056</v>
      </c>
      <c r="AD152" s="298">
        <f>MAX(AD127:AD149)</f>
        <v>26831</v>
      </c>
      <c r="AE152" s="297">
        <f>MAX(AE127:AE149)</f>
        <v>25570</v>
      </c>
      <c r="AF152" s="297">
        <f>MAX(AF127:AF149)</f>
        <v>24826</v>
      </c>
      <c r="AG152" s="297">
        <f t="shared" ref="AG152:AM152" si="151">MAX(AG127:AG149)</f>
        <v>23671</v>
      </c>
      <c r="AH152" s="297">
        <f t="shared" si="151"/>
        <v>23670</v>
      </c>
      <c r="AI152" s="296">
        <f t="shared" si="151"/>
        <v>22212</v>
      </c>
      <c r="AJ152" s="296">
        <f t="shared" si="151"/>
        <v>20400</v>
      </c>
      <c r="AK152" s="861">
        <f t="shared" si="151"/>
        <v>18090</v>
      </c>
      <c r="AL152" s="861">
        <f t="shared" si="151"/>
        <v>16692</v>
      </c>
      <c r="AM152" s="861">
        <f t="shared" si="151"/>
        <v>16128</v>
      </c>
      <c r="AO152" s="296">
        <f>MAX(AO127:AO149)</f>
        <v>30795</v>
      </c>
      <c r="AP152" s="296"/>
    </row>
    <row r="153" spans="1:42" s="295" customFormat="1" x14ac:dyDescent="0.2">
      <c r="D153" s="296" t="s">
        <v>256</v>
      </c>
      <c r="E153" s="296">
        <f>MIN(E127:E149)</f>
        <v>5253</v>
      </c>
      <c r="F153" s="296">
        <f>MIN(F127:F149)</f>
        <v>5080</v>
      </c>
      <c r="G153" s="296">
        <f>MIN(G127:G149)</f>
        <v>4284</v>
      </c>
      <c r="H153" s="296">
        <f>MIN(H127:H149)</f>
        <v>4226</v>
      </c>
      <c r="I153" s="296">
        <f t="shared" ref="I153:O153" si="152">MIN(I127:I149)</f>
        <v>4141</v>
      </c>
      <c r="J153" s="296">
        <f t="shared" si="152"/>
        <v>4089</v>
      </c>
      <c r="K153" s="296">
        <f t="shared" si="152"/>
        <v>3888</v>
      </c>
      <c r="L153" s="296">
        <f t="shared" si="152"/>
        <v>3489</v>
      </c>
      <c r="M153" s="861">
        <f t="shared" si="152"/>
        <v>3145</v>
      </c>
      <c r="N153" s="861">
        <f t="shared" si="152"/>
        <v>2925</v>
      </c>
      <c r="O153" s="861">
        <f t="shared" si="152"/>
        <v>2693</v>
      </c>
      <c r="Q153" s="296">
        <f>MIN(Q127:Q149)</f>
        <v>5880</v>
      </c>
      <c r="R153" s="296"/>
      <c r="AC153" s="298">
        <f>MIN(AC127:AC149)</f>
        <v>9399</v>
      </c>
      <c r="AD153" s="298">
        <f>MIN(AD127:AD149)</f>
        <v>9084</v>
      </c>
      <c r="AE153" s="297">
        <f>MIN(AE127:AE149)</f>
        <v>8781</v>
      </c>
      <c r="AF153" s="297">
        <f>MIN(AF127:AF149)</f>
        <v>8680</v>
      </c>
      <c r="AG153" s="297">
        <f t="shared" ref="AG153:AM153" si="153">MIN(AG127:AG149)</f>
        <v>8197</v>
      </c>
      <c r="AH153" s="297">
        <f t="shared" si="153"/>
        <v>7979</v>
      </c>
      <c r="AI153" s="296">
        <f t="shared" si="153"/>
        <v>8271</v>
      </c>
      <c r="AJ153" s="296">
        <f t="shared" si="153"/>
        <v>8013</v>
      </c>
      <c r="AK153" s="861">
        <f t="shared" si="153"/>
        <v>6227</v>
      </c>
      <c r="AL153" s="861">
        <f t="shared" si="153"/>
        <v>7197</v>
      </c>
      <c r="AM153" s="861">
        <f t="shared" si="153"/>
        <v>6678</v>
      </c>
      <c r="AO153" s="296">
        <f>MIN(AO127:AO149)</f>
        <v>10084</v>
      </c>
      <c r="AP153" s="296"/>
    </row>
    <row r="154" spans="1:42" s="295" customFormat="1" x14ac:dyDescent="0.2">
      <c r="D154" s="296" t="s">
        <v>255</v>
      </c>
      <c r="E154" s="296">
        <f>AVERAGE(E127:E149)</f>
        <v>7644.318181818182</v>
      </c>
      <c r="F154" s="296">
        <f>AVERAGE(F127:F149)</f>
        <v>7442.318181818182</v>
      </c>
      <c r="G154" s="296">
        <f>AVERAGE(G127:G149)</f>
        <v>6967.409090909091</v>
      </c>
      <c r="H154" s="296">
        <f>AVERAGE(H127:H149)</f>
        <v>6749.227272727273</v>
      </c>
      <c r="I154" s="296">
        <f t="shared" ref="I154:O154" si="154">AVERAGE(I127:I149)</f>
        <v>6328.363636363636</v>
      </c>
      <c r="J154" s="296">
        <f t="shared" si="154"/>
        <v>6099.818181818182</v>
      </c>
      <c r="K154" s="296">
        <f t="shared" si="154"/>
        <v>5785.909090909091</v>
      </c>
      <c r="L154" s="296">
        <f t="shared" si="154"/>
        <v>5225.636363636364</v>
      </c>
      <c r="M154" s="861">
        <f t="shared" si="154"/>
        <v>4921.818181818182</v>
      </c>
      <c r="N154" s="861">
        <f t="shared" si="154"/>
        <v>4567.909090909091</v>
      </c>
      <c r="O154" s="861">
        <f t="shared" si="154"/>
        <v>4208.818181818182</v>
      </c>
      <c r="Q154" s="296">
        <f>AVERAGE(Q127:Q149)</f>
        <v>10146.928571428571</v>
      </c>
      <c r="R154" s="296"/>
      <c r="AC154" s="298">
        <f>AVERAGE(AC127:AC149)</f>
        <v>18503</v>
      </c>
      <c r="AD154" s="298">
        <f>AVERAGE(AD127:AD149)</f>
        <v>18052.68181818182</v>
      </c>
      <c r="AE154" s="297">
        <f>AVERAGE(AE127:AE149)</f>
        <v>17311.090909090908</v>
      </c>
      <c r="AF154" s="297">
        <f>AVERAGE(AF127:AF149)</f>
        <v>16651.045454545456</v>
      </c>
      <c r="AG154" s="297">
        <f t="shared" ref="AG154:AM154" si="155">AVERAGE(AG127:AG149)</f>
        <v>15539.521739130434</v>
      </c>
      <c r="AH154" s="297">
        <f t="shared" si="155"/>
        <v>15224.91304347826</v>
      </c>
      <c r="AI154" s="296">
        <f t="shared" si="155"/>
        <v>14934.04347826087</v>
      </c>
      <c r="AJ154" s="296">
        <f t="shared" si="155"/>
        <v>14183.681818181818</v>
      </c>
      <c r="AK154" s="861">
        <f t="shared" si="155"/>
        <v>13303.565217391304</v>
      </c>
      <c r="AL154" s="861">
        <f t="shared" si="155"/>
        <v>12522.652173913044</v>
      </c>
      <c r="AM154" s="861">
        <f t="shared" si="155"/>
        <v>11872.608695652174</v>
      </c>
      <c r="AO154" s="296">
        <f>AVERAGE(AO127:AO149)</f>
        <v>20240.642857142859</v>
      </c>
      <c r="AP154" s="296"/>
    </row>
    <row r="155" spans="1:42" s="295" customFormat="1" x14ac:dyDescent="0.2">
      <c r="D155" s="296" t="s">
        <v>540</v>
      </c>
      <c r="E155" s="296">
        <f t="shared" ref="E155:J155" si="156">RANK(E148,E127:E149,0)</f>
        <v>22</v>
      </c>
      <c r="F155" s="296">
        <f t="shared" si="156"/>
        <v>22</v>
      </c>
      <c r="G155" s="296">
        <f t="shared" si="156"/>
        <v>21</v>
      </c>
      <c r="H155" s="296">
        <f t="shared" si="156"/>
        <v>21</v>
      </c>
      <c r="I155" s="296">
        <f t="shared" si="156"/>
        <v>21</v>
      </c>
      <c r="J155" s="296">
        <f t="shared" si="156"/>
        <v>22</v>
      </c>
      <c r="K155" s="296">
        <f>RANK(K148,K127:K148,0)</f>
        <v>22</v>
      </c>
      <c r="L155" s="296">
        <v>22</v>
      </c>
      <c r="M155" s="296">
        <v>23</v>
      </c>
      <c r="N155" s="296">
        <v>18</v>
      </c>
      <c r="O155" s="296">
        <v>22</v>
      </c>
      <c r="Q155" s="296">
        <f t="shared" ref="Q155" si="157">RANK(Q148,Q127:Q149,0)</f>
        <v>3</v>
      </c>
      <c r="R155" s="296"/>
      <c r="AC155" s="298">
        <f t="shared" ref="AC155:AH155" si="158">RANK(AC148,AC127:AC149,0)</f>
        <v>18</v>
      </c>
      <c r="AD155" s="298">
        <f t="shared" si="158"/>
        <v>18</v>
      </c>
      <c r="AE155" s="297">
        <f t="shared" si="158"/>
        <v>18</v>
      </c>
      <c r="AF155" s="297">
        <f t="shared" si="158"/>
        <v>18</v>
      </c>
      <c r="AG155" s="297">
        <f t="shared" si="158"/>
        <v>19</v>
      </c>
      <c r="AH155" s="297">
        <f t="shared" si="158"/>
        <v>19</v>
      </c>
      <c r="AI155" s="296">
        <f>RANK(AI148,AI127:AI148,0)</f>
        <v>18</v>
      </c>
      <c r="AJ155" s="296">
        <v>19</v>
      </c>
      <c r="AK155" s="296">
        <v>20</v>
      </c>
      <c r="AL155" s="296">
        <v>20</v>
      </c>
      <c r="AM155" s="296">
        <v>20</v>
      </c>
      <c r="AO155" s="296">
        <f t="shared" ref="AO155" si="159">RANK(AO148,AO127:AO149,0)</f>
        <v>1</v>
      </c>
      <c r="AP155" s="296"/>
    </row>
    <row r="156" spans="1:42" s="295" customFormat="1" x14ac:dyDescent="0.2">
      <c r="D156" s="296" t="s">
        <v>539</v>
      </c>
      <c r="E156" s="296"/>
      <c r="F156" s="296"/>
      <c r="G156" s="296"/>
      <c r="H156" s="296"/>
      <c r="I156" s="296"/>
      <c r="J156" s="296"/>
      <c r="K156" s="296"/>
      <c r="L156" s="296"/>
      <c r="M156" s="296">
        <v>19</v>
      </c>
      <c r="N156" s="296">
        <v>15</v>
      </c>
      <c r="O156" s="296">
        <v>17</v>
      </c>
      <c r="Q156" s="296"/>
      <c r="R156" s="296"/>
      <c r="AC156" s="298"/>
      <c r="AD156" s="298"/>
      <c r="AE156" s="297"/>
      <c r="AF156" s="297"/>
      <c r="AG156" s="297"/>
      <c r="AH156" s="297"/>
      <c r="AI156" s="296"/>
      <c r="AJ156" s="296"/>
      <c r="AK156" s="296">
        <v>19</v>
      </c>
      <c r="AL156" s="296">
        <v>18</v>
      </c>
      <c r="AM156" s="296">
        <v>17</v>
      </c>
      <c r="AO156" s="296"/>
      <c r="AP156" s="296"/>
    </row>
    <row r="157" spans="1:42" s="295" customFormat="1" x14ac:dyDescent="0.2">
      <c r="D157" s="296"/>
      <c r="E157" s="296"/>
      <c r="F157" s="296"/>
      <c r="G157" s="296"/>
      <c r="H157" s="296"/>
      <c r="I157" s="296"/>
      <c r="J157" s="296"/>
      <c r="K157" s="296"/>
      <c r="L157" s="296"/>
      <c r="M157" s="296"/>
      <c r="N157" s="296"/>
      <c r="O157" s="296"/>
      <c r="Q157" s="296"/>
      <c r="R157" s="296"/>
      <c r="AC157" s="298"/>
      <c r="AD157" s="298"/>
      <c r="AE157" s="297"/>
      <c r="AF157" s="297"/>
      <c r="AG157" s="297"/>
      <c r="AH157" s="297"/>
      <c r="AI157" s="296"/>
      <c r="AJ157" s="296"/>
      <c r="AK157" s="296"/>
      <c r="AL157" s="296"/>
      <c r="AM157" s="296"/>
      <c r="AO157" s="296"/>
      <c r="AP157" s="296"/>
    </row>
    <row r="158" spans="1:42" s="295" customFormat="1" x14ac:dyDescent="0.2">
      <c r="D158" s="296" t="s">
        <v>251</v>
      </c>
      <c r="E158" s="296">
        <f>COUNT(E149,E148,E144,E140,E139,E138,E137,E134,E133,E132,E131,E130)</f>
        <v>11</v>
      </c>
      <c r="F158" s="296">
        <f t="shared" ref="F158:K158" si="160">COUNT(F149,F148,F144,F140,F139,F138,F137,F134,F133,F132,F131,F130)</f>
        <v>11</v>
      </c>
      <c r="G158" s="296">
        <f t="shared" si="160"/>
        <v>11</v>
      </c>
      <c r="H158" s="296">
        <f t="shared" si="160"/>
        <v>11</v>
      </c>
      <c r="I158" s="296">
        <f t="shared" si="160"/>
        <v>11</v>
      </c>
      <c r="J158" s="296">
        <f t="shared" si="160"/>
        <v>11</v>
      </c>
      <c r="K158" s="296">
        <f t="shared" si="160"/>
        <v>11</v>
      </c>
      <c r="L158" s="296">
        <f>COUNT(L149,L148,L144,L140,L139,L138,L137,L134,L133,L132,L131)</f>
        <v>10</v>
      </c>
      <c r="M158" s="296">
        <v>11</v>
      </c>
      <c r="N158" s="296">
        <v>11</v>
      </c>
      <c r="O158" s="296">
        <v>11</v>
      </c>
      <c r="Q158" s="296">
        <f>COUNT(Q149,Q148,Q144,Q140,Q139,Q138,Q137,Q134,Q133,Q132,Q131,Q130)</f>
        <v>7</v>
      </c>
      <c r="R158" s="296"/>
      <c r="AC158" s="298">
        <f t="shared" ref="AC158:AI158" si="161">COUNT(AC149,AC148,AC144,AC140,AC139,AC138,AC137,AC134,AC133,AC132,AC131,E130)</f>
        <v>11</v>
      </c>
      <c r="AD158" s="298">
        <f t="shared" si="161"/>
        <v>11</v>
      </c>
      <c r="AE158" s="297">
        <f t="shared" si="161"/>
        <v>11</v>
      </c>
      <c r="AF158" s="297">
        <f t="shared" si="161"/>
        <v>11</v>
      </c>
      <c r="AG158" s="297">
        <f t="shared" si="161"/>
        <v>12</v>
      </c>
      <c r="AH158" s="297">
        <f t="shared" si="161"/>
        <v>12</v>
      </c>
      <c r="AI158" s="296">
        <f t="shared" si="161"/>
        <v>12</v>
      </c>
      <c r="AJ158" s="296">
        <f>COUNT(AJ149,AJ148,AJ144,AJ140,AJ139,AJ138,AJ137,AJ134,AJ133,AJ132,AJ131)</f>
        <v>10</v>
      </c>
      <c r="AK158" s="296">
        <v>11</v>
      </c>
      <c r="AL158" s="296">
        <v>11</v>
      </c>
      <c r="AM158" s="296">
        <v>11</v>
      </c>
      <c r="AO158" s="296">
        <f>COUNT(AO149,AO148,AO144,AO140,AO139,AO138,AO137,AO134,AO133,AO132,AO131,AO130)</f>
        <v>7</v>
      </c>
      <c r="AP158" s="296"/>
    </row>
    <row r="159" spans="1:42" s="295" customFormat="1" x14ac:dyDescent="0.2">
      <c r="D159" s="296" t="s">
        <v>250</v>
      </c>
      <c r="E159" s="296">
        <f>MAX(E149,E148,E144,E140,E139,E138,E137,E134,E133,E132,E131,E130)</f>
        <v>10408</v>
      </c>
      <c r="F159" s="296">
        <f t="shared" ref="F159:K159" si="162">MAX(F149,F148,F144,F140,F139,F138,F137,F134,F133,F132,F131,F130)</f>
        <v>10090</v>
      </c>
      <c r="G159" s="296">
        <f t="shared" si="162"/>
        <v>9519</v>
      </c>
      <c r="H159" s="296">
        <f t="shared" si="162"/>
        <v>8451</v>
      </c>
      <c r="I159" s="296">
        <f t="shared" si="162"/>
        <v>7343</v>
      </c>
      <c r="J159" s="296">
        <f t="shared" si="162"/>
        <v>7327</v>
      </c>
      <c r="K159" s="296">
        <f t="shared" si="162"/>
        <v>6548</v>
      </c>
      <c r="L159" s="296">
        <f>MAX(L149,L148,L144,L140,L139,L138,L137,L134,L133,L132,L131)</f>
        <v>5928</v>
      </c>
      <c r="M159" s="861">
        <v>5972</v>
      </c>
      <c r="N159" s="861">
        <v>5710</v>
      </c>
      <c r="O159" s="861">
        <v>5682</v>
      </c>
      <c r="Q159" s="296">
        <f>MAX(Q149,Q148,Q144,Q140,Q139,Q138,Q137,Q134,Q133,Q132,Q131,Q130)</f>
        <v>16729</v>
      </c>
      <c r="R159" s="296"/>
      <c r="AC159" s="298">
        <f t="shared" ref="AC159:AI159" si="163">MAX(AC149,AC148,AC144,AC140,AC139,AC138,AC137,AC134,AC133,AC132,AC131,E130)</f>
        <v>22575</v>
      </c>
      <c r="AD159" s="298">
        <f t="shared" si="163"/>
        <v>21969</v>
      </c>
      <c r="AE159" s="297">
        <f t="shared" si="163"/>
        <v>20457</v>
      </c>
      <c r="AF159" s="297">
        <f t="shared" si="163"/>
        <v>20057</v>
      </c>
      <c r="AG159" s="297">
        <f t="shared" si="163"/>
        <v>18606</v>
      </c>
      <c r="AH159" s="297">
        <f t="shared" si="163"/>
        <v>18080</v>
      </c>
      <c r="AI159" s="296">
        <f t="shared" si="163"/>
        <v>17626</v>
      </c>
      <c r="AJ159" s="296">
        <f>MAX(AJ149,AJ148,AJ144,AJ140,AJ139,AJ138,AJ137,AJ134,AJ133,AJ132,AJ131)</f>
        <v>17616</v>
      </c>
      <c r="AK159" s="861">
        <v>17604</v>
      </c>
      <c r="AL159" s="861">
        <v>16512</v>
      </c>
      <c r="AM159" s="861">
        <v>15065</v>
      </c>
      <c r="AO159" s="296">
        <f>MAX(AO149,AO148,AO144,AO140,AO139,AO138,AO137,AO134,AO133,AO132,AO131,AO130)</f>
        <v>30795</v>
      </c>
      <c r="AP159" s="296"/>
    </row>
    <row r="160" spans="1:42" s="295" customFormat="1" x14ac:dyDescent="0.2">
      <c r="D160" s="296" t="s">
        <v>249</v>
      </c>
      <c r="E160" s="296">
        <f>MIN(E149,E148,E144,E140,E139,E138,E137,E134,E133,E132,E131)</f>
        <v>5253</v>
      </c>
      <c r="F160" s="296">
        <f>MIN(F149,F148,F144,F140,F139,F138,F137,F134,F133,F132,F131)</f>
        <v>5080</v>
      </c>
      <c r="G160" s="296">
        <f t="shared" ref="G160:L160" si="164">MIN(G149,G148,G144,G140,G139,G138,G137,G134,G133,G132,G131)</f>
        <v>4284</v>
      </c>
      <c r="H160" s="296">
        <f t="shared" si="164"/>
        <v>4226</v>
      </c>
      <c r="I160" s="296">
        <f t="shared" si="164"/>
        <v>4141</v>
      </c>
      <c r="J160" s="296">
        <f t="shared" si="164"/>
        <v>4089</v>
      </c>
      <c r="K160" s="296">
        <f t="shared" si="164"/>
        <v>3888</v>
      </c>
      <c r="L160" s="296">
        <f t="shared" si="164"/>
        <v>3489</v>
      </c>
      <c r="M160" s="861">
        <v>3145</v>
      </c>
      <c r="N160" s="861">
        <v>2925</v>
      </c>
      <c r="O160" s="861">
        <v>2693</v>
      </c>
      <c r="Q160" s="296">
        <f>MIN(Q149,Q148,Q144,Q140,Q139,Q138,Q137,Q134,Q133,Q132,Q131)</f>
        <v>5880</v>
      </c>
      <c r="R160" s="296"/>
      <c r="AC160" s="298">
        <f t="shared" ref="AC160:AI160" si="165">MIN(AC149,AC148,AC144,AC140,AC139,AC138,AC137,AC134,AC133,AC132,AC131,E130)</f>
        <v>10408</v>
      </c>
      <c r="AD160" s="298">
        <f t="shared" si="165"/>
        <v>10090</v>
      </c>
      <c r="AE160" s="297">
        <f t="shared" si="165"/>
        <v>9519</v>
      </c>
      <c r="AF160" s="297">
        <f t="shared" si="165"/>
        <v>8281</v>
      </c>
      <c r="AG160" s="297">
        <f t="shared" si="165"/>
        <v>7327</v>
      </c>
      <c r="AH160" s="297">
        <f t="shared" si="165"/>
        <v>7327</v>
      </c>
      <c r="AI160" s="296">
        <f t="shared" si="165"/>
        <v>6545</v>
      </c>
      <c r="AJ160" s="296">
        <f>MIN(AJ149,AJ148,AJ144,AJ140,AJ139,AJ138,AJ137,AJ134,AJ133,AJ132,AJ131)</f>
        <v>12117</v>
      </c>
      <c r="AK160" s="861">
        <v>10897</v>
      </c>
      <c r="AL160" s="861">
        <v>10063</v>
      </c>
      <c r="AM160" s="861">
        <v>9466</v>
      </c>
      <c r="AO160" s="296">
        <f>MIN(AO149,AO148,AO144,AO140,AO139,AO138,AO137,AO134,AO133,AO132,AO131)</f>
        <v>10084</v>
      </c>
      <c r="AP160" s="296"/>
    </row>
    <row r="161" spans="1:42" s="295" customFormat="1" x14ac:dyDescent="0.2">
      <c r="D161" s="296" t="s">
        <v>248</v>
      </c>
      <c r="E161" s="296">
        <f>AVERAGE(E149,E148,E144,E140,E139,E138,E137,E134,E133,E132,E131,E130)</f>
        <v>7533.909090909091</v>
      </c>
      <c r="F161" s="296">
        <f t="shared" ref="F161:K161" si="166">AVERAGE(F149,F148,F144,F140,F139,F138,F137,F134,F133,F132,F131,F130)</f>
        <v>7274.727272727273</v>
      </c>
      <c r="G161" s="296">
        <f t="shared" si="166"/>
        <v>6601.818181818182</v>
      </c>
      <c r="H161" s="296">
        <f t="shared" si="166"/>
        <v>6356.818181818182</v>
      </c>
      <c r="I161" s="296">
        <f t="shared" si="166"/>
        <v>5843.181818181818</v>
      </c>
      <c r="J161" s="296">
        <f t="shared" si="166"/>
        <v>5615.818181818182</v>
      </c>
      <c r="K161" s="296">
        <f t="shared" si="166"/>
        <v>5184.272727272727</v>
      </c>
      <c r="L161" s="296">
        <f>AVERAGE(L149,L148,L144,L140,L139,L138,L137,L134,L133,L132,L131)</f>
        <v>4582.7</v>
      </c>
      <c r="M161" s="861">
        <v>4267</v>
      </c>
      <c r="N161" s="861">
        <v>4083</v>
      </c>
      <c r="O161" s="861">
        <v>3750</v>
      </c>
      <c r="Q161" s="296">
        <f>AVERAGE(Q149,Q148,Q144,Q140,Q139,Q138,Q137,Q134,Q133,Q132,Q131,Q130)</f>
        <v>10029.857142857143</v>
      </c>
      <c r="R161" s="296"/>
      <c r="AC161" s="298">
        <f t="shared" ref="AC161:AI161" si="167">AVERAGE(AC149,AC148,AC144,AC140,AC139,AC138,AC137,AC134,AC133,AC132,AC131,E130)</f>
        <v>18649.363636363636</v>
      </c>
      <c r="AD161" s="298">
        <f t="shared" si="167"/>
        <v>18067.18181818182</v>
      </c>
      <c r="AE161" s="297">
        <f t="shared" si="167"/>
        <v>17271.909090909092</v>
      </c>
      <c r="AF161" s="297">
        <f t="shared" si="167"/>
        <v>16643.090909090908</v>
      </c>
      <c r="AG161" s="297">
        <f t="shared" si="167"/>
        <v>15291.916666666666</v>
      </c>
      <c r="AH161" s="297">
        <f t="shared" si="167"/>
        <v>14993.166666666666</v>
      </c>
      <c r="AI161" s="296">
        <f t="shared" si="167"/>
        <v>14372.333333333334</v>
      </c>
      <c r="AJ161" s="296">
        <f>AVERAGE(AJ149,AJ148,AJ144,AJ140,AJ139,AJ138,AJ137,AJ134,AJ133,AJ132,AJ131)</f>
        <v>14630.6</v>
      </c>
      <c r="AK161" s="861">
        <v>13705</v>
      </c>
      <c r="AL161" s="861">
        <v>13002</v>
      </c>
      <c r="AM161" s="861">
        <v>12314</v>
      </c>
      <c r="AO161" s="296">
        <f>AVERAGE(AO149,AO148,AO144,AO140,AO139,AO138,AO137,AO134,AO133,AO132,AO131,AO130)</f>
        <v>20610.857142857141</v>
      </c>
      <c r="AP161" s="296"/>
    </row>
    <row r="162" spans="1:42" s="295" customFormat="1" x14ac:dyDescent="0.2">
      <c r="D162" s="296" t="s">
        <v>538</v>
      </c>
      <c r="E162" s="296">
        <f>RANK(E148,(E130,E131,E132,E133,E134,E137,E138,E139,E140,E144,E148,E149))</f>
        <v>11</v>
      </c>
      <c r="F162" s="296">
        <f>RANK(F148,(F130,F131,F132,F133,F134,F137,F138,F139,F140,F144,F148,F149))</f>
        <v>11</v>
      </c>
      <c r="G162" s="296">
        <f>RANK(G148,(G130,G131,G132,G133,G134,G137,G138,G139,G140,G144,G148,G149))</f>
        <v>10</v>
      </c>
      <c r="H162" s="296">
        <f>RANK(H148,(H130,H131,H132,H133,H134,H137,H138,H139,H140,H144,H148,H149))</f>
        <v>10</v>
      </c>
      <c r="I162" s="296">
        <f>RANK(I148,(I130,I131,I132,I133,I134,I137,I138,I139,I140,I144,I148,I149))</f>
        <v>10</v>
      </c>
      <c r="J162" s="296">
        <f>RANK(J148,(J130,J131,J132,J133,J134,J137,J138,J139,J140,J144,J148,J149))</f>
        <v>11</v>
      </c>
      <c r="K162" s="296">
        <v>11</v>
      </c>
      <c r="L162" s="296">
        <v>10</v>
      </c>
      <c r="M162" s="296">
        <v>11</v>
      </c>
      <c r="N162" s="296">
        <v>8</v>
      </c>
      <c r="O162" s="296">
        <v>10</v>
      </c>
      <c r="Q162" s="296">
        <f>RANK(Q148,(Q130,Q131,Q132,Q133,Q134,Q137,Q138,Q139,Q140,Q144,Q148,Q149))</f>
        <v>2</v>
      </c>
      <c r="R162" s="296"/>
      <c r="AC162" s="296">
        <f>RANK(AC148,(AC130,AC131,AC132,AC133,AC134,AC137,AC138,AC139,AC140,AC144,AC148,AC149))</f>
        <v>11</v>
      </c>
      <c r="AD162" s="296">
        <f>RANK(AD148,(AD130,AD131,AD132,AD133,AD134,AD137,AD138,AD139,AD140,AD144,AD148,AD149))</f>
        <v>11</v>
      </c>
      <c r="AE162" s="296">
        <f>RANK(AE148,(AE130,AE131,AE132,AE133,AE134,AE137,AE138,AE139,AE140,AE144,AE148,AE149))</f>
        <v>11</v>
      </c>
      <c r="AF162" s="296">
        <f>RANK(AF148,(AF130,AF131,AF132,AF133,AF134,AF137,AF138,AF139,AF140,AF144,AF148,AF149))</f>
        <v>11</v>
      </c>
      <c r="AG162" s="296">
        <f>RANK(AG148,(AG130,AG131,AG132,AG133,AG134,AG137,AG138,AG139,AG140,AG144,AG148,AG149))</f>
        <v>12</v>
      </c>
      <c r="AH162" s="296">
        <f>RANK(AH148,(AH130,AH131,AH132,AH133,AH134,AH137,AH138,AH139,AH140,AH144,AH148,AH149))</f>
        <v>12</v>
      </c>
      <c r="AI162" s="296">
        <v>11</v>
      </c>
      <c r="AJ162" s="296">
        <v>10</v>
      </c>
      <c r="AK162" s="296">
        <v>11</v>
      </c>
      <c r="AL162" s="296">
        <v>11</v>
      </c>
      <c r="AM162" s="296">
        <v>11</v>
      </c>
      <c r="AO162" s="296">
        <f>RANK(AO148,(AO130,AO131,AO132,AO133,AO134,AO137,AO138,AO139,AO140,AO144,AO148,AO149))</f>
        <v>1</v>
      </c>
      <c r="AP162" s="296"/>
    </row>
    <row r="163" spans="1:42" s="295" customFormat="1" ht="12.75" hidden="1" customHeight="1" x14ac:dyDescent="0.2">
      <c r="D163" s="296" t="s">
        <v>537</v>
      </c>
      <c r="E163" s="296"/>
      <c r="F163" s="296"/>
      <c r="G163" s="296"/>
      <c r="H163" s="296"/>
      <c r="I163" s="296"/>
      <c r="J163" s="296"/>
      <c r="K163" s="296"/>
      <c r="L163" s="296"/>
      <c r="M163" s="296">
        <v>7</v>
      </c>
      <c r="N163" s="296">
        <v>6</v>
      </c>
      <c r="O163" s="296">
        <v>8</v>
      </c>
      <c r="AC163" s="297"/>
      <c r="AD163" s="297"/>
      <c r="AE163" s="297"/>
      <c r="AF163" s="297"/>
      <c r="AG163" s="297"/>
      <c r="AH163" s="297"/>
      <c r="AI163" s="296"/>
      <c r="AJ163" s="296"/>
      <c r="AK163" s="296">
        <v>10</v>
      </c>
      <c r="AL163" s="296">
        <v>9</v>
      </c>
      <c r="AM163" s="296">
        <v>9</v>
      </c>
    </row>
    <row r="167" spans="1:42" x14ac:dyDescent="0.2">
      <c r="E167" s="1057" t="s">
        <v>536</v>
      </c>
      <c r="F167" s="1057"/>
      <c r="G167" s="319"/>
      <c r="H167" s="319"/>
      <c r="I167" s="319"/>
      <c r="J167" s="319"/>
      <c r="K167" s="319"/>
      <c r="L167" s="319"/>
      <c r="M167" s="319"/>
      <c r="N167" s="319"/>
      <c r="O167" s="319"/>
      <c r="S167" s="1058"/>
      <c r="T167" s="1058"/>
      <c r="U167" s="1058"/>
      <c r="V167" s="1058"/>
      <c r="W167" s="1058"/>
      <c r="X167" s="1058"/>
      <c r="Y167" s="1058"/>
      <c r="Z167" s="1058"/>
      <c r="AA167" s="1058"/>
      <c r="AC167" s="1057" t="s">
        <v>535</v>
      </c>
      <c r="AD167" s="1057"/>
      <c r="AE167" s="319"/>
      <c r="AF167" s="319"/>
      <c r="AG167" s="319"/>
      <c r="AH167" s="319"/>
      <c r="AI167" s="319"/>
      <c r="AJ167" s="319"/>
      <c r="AK167" s="319"/>
      <c r="AL167" s="319"/>
      <c r="AM167" s="319"/>
    </row>
    <row r="168" spans="1:42" x14ac:dyDescent="0.2">
      <c r="A168" s="318"/>
      <c r="B168" s="318"/>
      <c r="C168" s="318"/>
      <c r="D168" s="318" t="s">
        <v>534</v>
      </c>
      <c r="E168" s="315" t="s">
        <v>533</v>
      </c>
      <c r="F168" s="315" t="s">
        <v>236</v>
      </c>
      <c r="G168" s="315" t="s">
        <v>229</v>
      </c>
      <c r="H168" s="315" t="s">
        <v>224</v>
      </c>
      <c r="I168" s="315" t="s">
        <v>154</v>
      </c>
      <c r="J168" s="315" t="s">
        <v>146</v>
      </c>
      <c r="K168" s="315" t="s">
        <v>104</v>
      </c>
      <c r="L168" s="315" t="s">
        <v>103</v>
      </c>
      <c r="M168" s="315" t="s">
        <v>102</v>
      </c>
      <c r="N168" s="315" t="s">
        <v>101</v>
      </c>
      <c r="O168" s="315" t="s">
        <v>100</v>
      </c>
      <c r="Q168" s="317"/>
      <c r="R168" s="317"/>
      <c r="S168" s="317"/>
      <c r="T168" s="317"/>
      <c r="U168" s="317"/>
      <c r="V168" s="317"/>
      <c r="W168" s="317"/>
      <c r="X168" s="317"/>
      <c r="Y168" s="317"/>
      <c r="Z168" s="317"/>
      <c r="AA168" s="317"/>
      <c r="AB168" s="316"/>
      <c r="AC168" s="315" t="s">
        <v>533</v>
      </c>
      <c r="AD168" s="315" t="s">
        <v>236</v>
      </c>
      <c r="AE168" s="315" t="s">
        <v>229</v>
      </c>
      <c r="AF168" s="315" t="s">
        <v>224</v>
      </c>
      <c r="AG168" s="315" t="s">
        <v>154</v>
      </c>
      <c r="AH168" s="315" t="s">
        <v>146</v>
      </c>
      <c r="AI168" s="315" t="s">
        <v>104</v>
      </c>
      <c r="AJ168" s="315" t="s">
        <v>103</v>
      </c>
      <c r="AK168" s="315" t="s">
        <v>102</v>
      </c>
      <c r="AL168" s="315" t="s">
        <v>101</v>
      </c>
      <c r="AM168" s="315" t="s">
        <v>100</v>
      </c>
    </row>
    <row r="169" spans="1:42" ht="12.75" hidden="1" customHeight="1" x14ac:dyDescent="0.2">
      <c r="A169" s="294" t="s">
        <v>263</v>
      </c>
      <c r="C169" s="294" t="s">
        <v>532</v>
      </c>
      <c r="D169" s="313" t="s">
        <v>531</v>
      </c>
      <c r="I169" s="294">
        <v>4690</v>
      </c>
      <c r="J169" s="294">
        <v>4570</v>
      </c>
      <c r="K169" s="294">
        <v>4300</v>
      </c>
      <c r="L169" s="294">
        <v>4150</v>
      </c>
      <c r="M169" s="294">
        <v>3970</v>
      </c>
      <c r="N169" s="294">
        <v>3790</v>
      </c>
      <c r="O169" s="294">
        <v>3550</v>
      </c>
      <c r="AG169" s="294">
        <v>4690</v>
      </c>
      <c r="AH169" s="294">
        <v>4570</v>
      </c>
      <c r="AI169" s="294">
        <v>4300</v>
      </c>
      <c r="AJ169" s="294">
        <v>4150</v>
      </c>
      <c r="AK169" s="294">
        <v>3970</v>
      </c>
      <c r="AL169" s="294">
        <v>3790</v>
      </c>
      <c r="AM169" s="294">
        <v>3550</v>
      </c>
    </row>
    <row r="170" spans="1:42" x14ac:dyDescent="0.2">
      <c r="A170" s="294" t="s">
        <v>263</v>
      </c>
      <c r="B170" s="294" t="s">
        <v>262</v>
      </c>
      <c r="C170" s="294" t="s">
        <v>513</v>
      </c>
      <c r="D170" s="294" t="s">
        <v>530</v>
      </c>
      <c r="E170" s="304">
        <v>2520</v>
      </c>
      <c r="F170" s="300">
        <v>2460</v>
      </c>
      <c r="G170" s="300">
        <v>2410</v>
      </c>
      <c r="H170" s="302">
        <v>2340</v>
      </c>
      <c r="I170" s="302">
        <v>2220</v>
      </c>
      <c r="J170" s="302">
        <v>2160</v>
      </c>
      <c r="K170" s="302">
        <v>2100</v>
      </c>
      <c r="L170" s="302">
        <v>1800</v>
      </c>
      <c r="M170" s="302">
        <v>1800</v>
      </c>
      <c r="N170" s="302">
        <v>1680</v>
      </c>
      <c r="O170" s="302">
        <v>1380</v>
      </c>
      <c r="P170" s="302"/>
      <c r="Q170" s="302"/>
      <c r="R170" s="302"/>
      <c r="S170" s="302"/>
      <c r="T170" s="302"/>
      <c r="U170" s="302"/>
      <c r="V170" s="302"/>
      <c r="W170" s="302"/>
      <c r="X170" s="302"/>
      <c r="Y170" s="302"/>
      <c r="Z170" s="302"/>
      <c r="AA170" s="302"/>
      <c r="AB170" s="302"/>
      <c r="AC170" s="304">
        <v>9510</v>
      </c>
      <c r="AD170" s="300">
        <v>9450</v>
      </c>
      <c r="AE170" s="300">
        <v>9400</v>
      </c>
      <c r="AF170" s="299">
        <v>9330</v>
      </c>
      <c r="AG170" s="294">
        <v>7668</v>
      </c>
      <c r="AH170" s="294">
        <v>7464</v>
      </c>
      <c r="AI170" s="294">
        <v>7260</v>
      </c>
      <c r="AJ170" s="294">
        <v>6360</v>
      </c>
      <c r="AK170" s="294">
        <v>6360</v>
      </c>
      <c r="AL170" s="294">
        <v>6240</v>
      </c>
      <c r="AM170" s="294">
        <v>5940</v>
      </c>
    </row>
    <row r="171" spans="1:42" x14ac:dyDescent="0.2">
      <c r="A171" s="294" t="s">
        <v>263</v>
      </c>
      <c r="B171" s="294" t="s">
        <v>262</v>
      </c>
      <c r="C171" s="294" t="s">
        <v>513</v>
      </c>
      <c r="D171" s="294" t="s">
        <v>529</v>
      </c>
      <c r="E171" s="304">
        <v>2580</v>
      </c>
      <c r="F171" s="300">
        <v>2580</v>
      </c>
      <c r="G171" s="300">
        <v>2520</v>
      </c>
      <c r="H171" s="302">
        <v>2460</v>
      </c>
      <c r="I171" s="302">
        <v>2310</v>
      </c>
      <c r="J171" s="302">
        <v>2160</v>
      </c>
      <c r="K171" s="302">
        <v>2100</v>
      </c>
      <c r="L171" s="302">
        <v>1950</v>
      </c>
      <c r="M171" s="302">
        <v>1736</v>
      </c>
      <c r="N171" s="302">
        <v>1680</v>
      </c>
      <c r="O171" s="302">
        <v>1596</v>
      </c>
      <c r="P171" s="302"/>
      <c r="Q171" s="302"/>
      <c r="R171" s="302"/>
      <c r="S171" s="302"/>
      <c r="T171" s="302"/>
      <c r="U171" s="302"/>
      <c r="V171" s="302"/>
      <c r="W171" s="302"/>
      <c r="X171" s="302"/>
      <c r="Y171" s="302"/>
      <c r="Z171" s="302"/>
      <c r="AA171" s="302"/>
      <c r="AB171" s="302"/>
      <c r="AC171" s="304">
        <v>11100</v>
      </c>
      <c r="AD171" s="300">
        <v>11100</v>
      </c>
      <c r="AE171" s="300">
        <v>10980</v>
      </c>
      <c r="AF171" s="299">
        <v>10740</v>
      </c>
      <c r="AG171" s="294">
        <v>10260</v>
      </c>
      <c r="AH171" s="294">
        <v>9600</v>
      </c>
      <c r="AI171" s="294">
        <v>9360</v>
      </c>
      <c r="AJ171" s="294">
        <v>8670</v>
      </c>
      <c r="AK171" s="294">
        <v>7728</v>
      </c>
      <c r="AL171" s="294">
        <v>7476</v>
      </c>
      <c r="AM171" s="294">
        <v>7112</v>
      </c>
    </row>
    <row r="172" spans="1:42" x14ac:dyDescent="0.2">
      <c r="A172" s="294" t="s">
        <v>263</v>
      </c>
      <c r="B172" s="294" t="s">
        <v>262</v>
      </c>
      <c r="C172" s="294" t="s">
        <v>513</v>
      </c>
      <c r="D172" s="294" t="s">
        <v>528</v>
      </c>
      <c r="E172" s="304">
        <v>2580</v>
      </c>
      <c r="F172" s="300">
        <v>2580</v>
      </c>
      <c r="G172" s="300">
        <v>2580</v>
      </c>
      <c r="H172" s="302">
        <v>2520</v>
      </c>
      <c r="I172" s="302">
        <v>2430</v>
      </c>
      <c r="J172" s="302">
        <v>2280</v>
      </c>
      <c r="K172" s="302">
        <v>2280</v>
      </c>
      <c r="L172" s="302">
        <v>2130</v>
      </c>
      <c r="M172" s="302">
        <v>2130</v>
      </c>
      <c r="N172" s="302">
        <v>2130</v>
      </c>
      <c r="O172" s="302">
        <v>1950</v>
      </c>
      <c r="P172" s="302"/>
      <c r="Q172" s="302"/>
      <c r="R172" s="302"/>
      <c r="S172" s="302"/>
      <c r="T172" s="302"/>
      <c r="U172" s="302"/>
      <c r="V172" s="302"/>
      <c r="W172" s="302"/>
      <c r="X172" s="302"/>
      <c r="Y172" s="302"/>
      <c r="Z172" s="302"/>
      <c r="AA172" s="302"/>
      <c r="AB172" s="302"/>
      <c r="AC172" s="304">
        <v>9810</v>
      </c>
      <c r="AD172" s="300">
        <v>9810</v>
      </c>
      <c r="AE172" s="300">
        <v>9810</v>
      </c>
      <c r="AF172" s="299">
        <v>9750</v>
      </c>
      <c r="AG172" s="294">
        <v>9660</v>
      </c>
      <c r="AH172" s="294">
        <v>9510</v>
      </c>
      <c r="AI172" s="294">
        <v>9510</v>
      </c>
      <c r="AJ172" s="294">
        <v>9360</v>
      </c>
      <c r="AK172" s="294">
        <v>9360</v>
      </c>
      <c r="AL172" s="294">
        <v>8580</v>
      </c>
      <c r="AM172" s="294">
        <v>8400</v>
      </c>
    </row>
    <row r="173" spans="1:42" x14ac:dyDescent="0.2">
      <c r="A173" s="294" t="s">
        <v>263</v>
      </c>
      <c r="B173" s="294" t="s">
        <v>262</v>
      </c>
      <c r="C173" s="294" t="s">
        <v>513</v>
      </c>
      <c r="D173" s="294" t="s">
        <v>527</v>
      </c>
      <c r="E173" s="304">
        <v>2550</v>
      </c>
      <c r="F173" s="300">
        <v>2460</v>
      </c>
      <c r="G173" s="300">
        <v>2370</v>
      </c>
      <c r="H173" s="302">
        <v>2310</v>
      </c>
      <c r="I173" s="302">
        <v>2190</v>
      </c>
      <c r="J173" s="302">
        <v>2100</v>
      </c>
      <c r="K173" s="302">
        <v>1970</v>
      </c>
      <c r="L173" s="302">
        <v>1690</v>
      </c>
      <c r="M173" s="302">
        <v>1630</v>
      </c>
      <c r="N173" s="302">
        <v>1540</v>
      </c>
      <c r="O173" s="302">
        <v>1470</v>
      </c>
      <c r="P173" s="302"/>
      <c r="Q173" s="302"/>
      <c r="R173" s="302"/>
      <c r="S173" s="302"/>
      <c r="T173" s="302"/>
      <c r="U173" s="302"/>
      <c r="V173" s="302"/>
      <c r="W173" s="302"/>
      <c r="X173" s="302"/>
      <c r="Y173" s="302"/>
      <c r="Z173" s="302"/>
      <c r="AA173" s="302"/>
      <c r="AB173" s="302"/>
      <c r="AC173" s="304">
        <v>7800</v>
      </c>
      <c r="AD173" s="300">
        <v>7800</v>
      </c>
      <c r="AE173" s="300">
        <v>7500</v>
      </c>
      <c r="AF173" s="299">
        <v>7500</v>
      </c>
      <c r="AG173" s="294">
        <v>7500</v>
      </c>
      <c r="AH173" s="294">
        <v>8700</v>
      </c>
      <c r="AI173" s="294">
        <v>8780</v>
      </c>
      <c r="AJ173" s="294">
        <v>8770</v>
      </c>
      <c r="AK173" s="294">
        <v>8770</v>
      </c>
      <c r="AL173" s="294">
        <v>7330</v>
      </c>
      <c r="AM173" s="294">
        <v>7020</v>
      </c>
    </row>
    <row r="174" spans="1:42" x14ac:dyDescent="0.2">
      <c r="A174" s="294" t="s">
        <v>263</v>
      </c>
      <c r="B174" s="294" t="s">
        <v>262</v>
      </c>
      <c r="C174" s="294" t="s">
        <v>513</v>
      </c>
      <c r="D174" s="294" t="s">
        <v>526</v>
      </c>
      <c r="E174" s="304">
        <v>3270</v>
      </c>
      <c r="F174" s="300">
        <v>3150</v>
      </c>
      <c r="G174" s="300">
        <v>3060</v>
      </c>
      <c r="H174" s="302">
        <v>2970</v>
      </c>
      <c r="I174" s="302">
        <v>2760</v>
      </c>
      <c r="J174" s="302">
        <v>2700</v>
      </c>
      <c r="K174" s="302">
        <v>2640</v>
      </c>
      <c r="L174" s="302">
        <v>2550</v>
      </c>
      <c r="M174" s="302">
        <v>2250</v>
      </c>
      <c r="N174" s="302">
        <v>1970</v>
      </c>
      <c r="O174" s="302">
        <v>1690</v>
      </c>
      <c r="P174" s="302"/>
      <c r="Q174" s="302"/>
      <c r="R174" s="302"/>
      <c r="S174" s="302"/>
      <c r="T174" s="302"/>
      <c r="U174" s="302"/>
      <c r="V174" s="302"/>
      <c r="W174" s="302"/>
      <c r="X174" s="302"/>
      <c r="Y174" s="302"/>
      <c r="Z174" s="302"/>
      <c r="AA174" s="302"/>
      <c r="AB174" s="302"/>
      <c r="AC174" s="304">
        <v>11445</v>
      </c>
      <c r="AD174" s="300">
        <v>11025</v>
      </c>
      <c r="AE174" s="300">
        <v>10710</v>
      </c>
      <c r="AF174" s="299">
        <v>9870</v>
      </c>
      <c r="AG174" s="294">
        <v>9285</v>
      </c>
      <c r="AH174" s="294">
        <v>9075</v>
      </c>
      <c r="AI174" s="294">
        <v>8865</v>
      </c>
      <c r="AJ174" s="294">
        <v>8550</v>
      </c>
      <c r="AK174" s="294">
        <v>7500</v>
      </c>
      <c r="AL174" s="294">
        <v>8340</v>
      </c>
      <c r="AM174" s="294">
        <v>8450</v>
      </c>
    </row>
    <row r="175" spans="1:42" x14ac:dyDescent="0.2">
      <c r="A175" s="294" t="s">
        <v>263</v>
      </c>
      <c r="B175" s="294" t="s">
        <v>262</v>
      </c>
      <c r="C175" s="294" t="s">
        <v>513</v>
      </c>
      <c r="D175" s="294" t="s">
        <v>525</v>
      </c>
      <c r="E175" s="304">
        <v>2700</v>
      </c>
      <c r="F175" s="300">
        <v>2550</v>
      </c>
      <c r="G175" s="300">
        <v>2400</v>
      </c>
      <c r="H175" s="302">
        <v>2080</v>
      </c>
      <c r="I175" s="302">
        <v>1920</v>
      </c>
      <c r="J175" s="302">
        <v>1760</v>
      </c>
      <c r="K175" s="302">
        <v>1600</v>
      </c>
      <c r="L175" s="302">
        <v>1520</v>
      </c>
      <c r="M175" s="302">
        <v>1520</v>
      </c>
      <c r="N175" s="302">
        <v>1380</v>
      </c>
      <c r="O175" s="302">
        <v>1300</v>
      </c>
      <c r="P175" s="302"/>
      <c r="Q175" s="302"/>
      <c r="R175" s="302"/>
      <c r="S175" s="302"/>
      <c r="T175" s="302"/>
      <c r="U175" s="302"/>
      <c r="V175" s="302"/>
      <c r="W175" s="302"/>
      <c r="X175" s="302"/>
      <c r="Y175" s="302"/>
      <c r="Z175" s="302"/>
      <c r="AA175" s="302"/>
      <c r="AB175" s="302"/>
      <c r="AC175" s="304">
        <v>11400</v>
      </c>
      <c r="AD175" s="300">
        <v>11250</v>
      </c>
      <c r="AE175" s="300">
        <v>10800</v>
      </c>
      <c r="AF175" s="299">
        <v>9580</v>
      </c>
      <c r="AG175" s="294">
        <v>8820</v>
      </c>
      <c r="AH175" s="294">
        <v>8360</v>
      </c>
      <c r="AI175" s="294">
        <v>6600</v>
      </c>
      <c r="AJ175" s="294">
        <v>6600</v>
      </c>
      <c r="AK175" s="294">
        <v>6600</v>
      </c>
      <c r="AL175" s="294">
        <v>6060</v>
      </c>
      <c r="AM175" s="294">
        <v>5240</v>
      </c>
    </row>
    <row r="176" spans="1:42" x14ac:dyDescent="0.2">
      <c r="A176" s="294" t="s">
        <v>263</v>
      </c>
      <c r="B176" s="294" t="s">
        <v>262</v>
      </c>
      <c r="C176" s="294" t="s">
        <v>513</v>
      </c>
      <c r="D176" s="294" t="s">
        <v>524</v>
      </c>
      <c r="E176" s="304">
        <v>2580</v>
      </c>
      <c r="F176" s="300">
        <v>2580</v>
      </c>
      <c r="G176" s="300">
        <v>2580</v>
      </c>
      <c r="H176" s="302">
        <v>2520</v>
      </c>
      <c r="I176" s="302">
        <v>2430</v>
      </c>
      <c r="J176" s="302">
        <v>2280</v>
      </c>
      <c r="K176" s="302">
        <v>2280</v>
      </c>
      <c r="L176" s="302">
        <v>2130</v>
      </c>
      <c r="M176" s="302">
        <v>2130</v>
      </c>
      <c r="N176" s="302">
        <v>2130</v>
      </c>
      <c r="O176" s="302">
        <v>1950</v>
      </c>
      <c r="P176" s="302"/>
      <c r="Q176" s="302"/>
      <c r="R176" s="302"/>
      <c r="S176" s="302"/>
      <c r="T176" s="302"/>
      <c r="U176" s="302"/>
      <c r="V176" s="302"/>
      <c r="W176" s="302"/>
      <c r="X176" s="302"/>
      <c r="Y176" s="302"/>
      <c r="Z176" s="302"/>
      <c r="AA176" s="302"/>
      <c r="AB176" s="302"/>
      <c r="AC176" s="304">
        <v>9810</v>
      </c>
      <c r="AD176" s="300">
        <v>9810</v>
      </c>
      <c r="AE176" s="300">
        <v>9810</v>
      </c>
      <c r="AF176" s="299">
        <v>9750</v>
      </c>
      <c r="AG176" s="294">
        <v>9660</v>
      </c>
      <c r="AH176" s="294">
        <v>9510</v>
      </c>
      <c r="AI176" s="294">
        <v>9510</v>
      </c>
      <c r="AJ176" s="294">
        <v>9360</v>
      </c>
      <c r="AK176" s="294">
        <v>9360</v>
      </c>
      <c r="AL176" s="294">
        <v>8580</v>
      </c>
      <c r="AM176" s="294">
        <v>8400</v>
      </c>
    </row>
    <row r="177" spans="1:52" x14ac:dyDescent="0.2">
      <c r="A177" s="294" t="s">
        <v>263</v>
      </c>
      <c r="B177" s="294" t="s">
        <v>262</v>
      </c>
      <c r="C177" s="294" t="s">
        <v>513</v>
      </c>
      <c r="D177" s="294" t="s">
        <v>523</v>
      </c>
      <c r="E177" s="304">
        <v>2580</v>
      </c>
      <c r="F177" s="300">
        <v>2580</v>
      </c>
      <c r="G177" s="300">
        <v>2580</v>
      </c>
      <c r="H177" s="302">
        <v>2520</v>
      </c>
      <c r="I177" s="302">
        <v>2430</v>
      </c>
      <c r="J177" s="302">
        <v>2280</v>
      </c>
      <c r="K177" s="302">
        <v>2280</v>
      </c>
      <c r="L177" s="302">
        <v>2130</v>
      </c>
      <c r="M177" s="302">
        <v>2130</v>
      </c>
      <c r="N177" s="302">
        <v>2130</v>
      </c>
      <c r="O177" s="302">
        <v>1950</v>
      </c>
      <c r="P177" s="302"/>
      <c r="Q177" s="302"/>
      <c r="R177" s="302"/>
      <c r="S177" s="302"/>
      <c r="T177" s="302"/>
      <c r="U177" s="302"/>
      <c r="V177" s="302"/>
      <c r="W177" s="302"/>
      <c r="X177" s="302"/>
      <c r="Y177" s="302"/>
      <c r="Z177" s="302"/>
      <c r="AA177" s="302"/>
      <c r="AB177" s="302"/>
      <c r="AC177" s="304">
        <v>9810</v>
      </c>
      <c r="AD177" s="300">
        <v>9810</v>
      </c>
      <c r="AE177" s="300">
        <v>9810</v>
      </c>
      <c r="AF177" s="299">
        <v>9750</v>
      </c>
      <c r="AG177" s="294">
        <v>9660</v>
      </c>
      <c r="AH177" s="294">
        <v>9510</v>
      </c>
      <c r="AI177" s="294">
        <v>9510</v>
      </c>
      <c r="AJ177" s="294">
        <v>9360</v>
      </c>
      <c r="AK177" s="294">
        <v>9360</v>
      </c>
      <c r="AL177" s="294">
        <v>8580</v>
      </c>
      <c r="AM177" s="294">
        <v>8400</v>
      </c>
    </row>
    <row r="178" spans="1:52" x14ac:dyDescent="0.2">
      <c r="A178" s="294" t="s">
        <v>263</v>
      </c>
      <c r="B178" s="294" t="s">
        <v>262</v>
      </c>
      <c r="C178" s="294" t="s">
        <v>513</v>
      </c>
      <c r="D178" s="294" t="s">
        <v>471</v>
      </c>
      <c r="E178" s="304">
        <v>2580</v>
      </c>
      <c r="F178" s="300">
        <v>2580</v>
      </c>
      <c r="G178" s="300">
        <v>2580</v>
      </c>
      <c r="H178" s="302">
        <v>2520</v>
      </c>
      <c r="I178" s="302">
        <v>2430</v>
      </c>
      <c r="J178" s="302">
        <v>2280</v>
      </c>
      <c r="K178" s="302">
        <v>2280</v>
      </c>
      <c r="L178" s="302">
        <v>2130</v>
      </c>
      <c r="M178" s="302">
        <v>2130</v>
      </c>
      <c r="N178" s="302">
        <v>2130</v>
      </c>
      <c r="O178" s="302">
        <v>1950</v>
      </c>
      <c r="P178" s="302"/>
      <c r="Q178" s="302"/>
      <c r="R178" s="302"/>
      <c r="S178" s="302"/>
      <c r="T178" s="302"/>
      <c r="U178" s="302"/>
      <c r="V178" s="302"/>
      <c r="W178" s="302"/>
      <c r="X178" s="302"/>
      <c r="Y178" s="302"/>
      <c r="Z178" s="302"/>
      <c r="AA178" s="302"/>
      <c r="AB178" s="302"/>
      <c r="AC178" s="304">
        <v>9810</v>
      </c>
      <c r="AD178" s="300">
        <v>9810</v>
      </c>
      <c r="AE178" s="300">
        <v>9810</v>
      </c>
      <c r="AF178" s="299">
        <v>9750</v>
      </c>
      <c r="AG178" s="294">
        <v>9660</v>
      </c>
      <c r="AH178" s="294">
        <v>9510</v>
      </c>
      <c r="AI178" s="294">
        <v>9510</v>
      </c>
      <c r="AJ178" s="294">
        <v>9360</v>
      </c>
      <c r="AK178" s="294">
        <v>9360</v>
      </c>
      <c r="AL178" s="294">
        <v>8580</v>
      </c>
      <c r="AM178" s="294">
        <v>8400</v>
      </c>
    </row>
    <row r="179" spans="1:52" x14ac:dyDescent="0.2">
      <c r="A179" s="294" t="s">
        <v>263</v>
      </c>
      <c r="B179" s="294" t="s">
        <v>262</v>
      </c>
      <c r="C179" s="294" t="s">
        <v>513</v>
      </c>
      <c r="D179" s="294" t="s">
        <v>522</v>
      </c>
      <c r="E179" s="304">
        <v>2580</v>
      </c>
      <c r="F179" s="300">
        <v>2580</v>
      </c>
      <c r="G179" s="300">
        <v>2580</v>
      </c>
      <c r="H179" s="302">
        <v>2520</v>
      </c>
      <c r="I179" s="302">
        <v>2430</v>
      </c>
      <c r="J179" s="302">
        <v>2280</v>
      </c>
      <c r="K179" s="302">
        <v>2280</v>
      </c>
      <c r="L179" s="302">
        <v>2130</v>
      </c>
      <c r="M179" s="302">
        <v>2130</v>
      </c>
      <c r="N179" s="302">
        <v>2130</v>
      </c>
      <c r="O179" s="302">
        <v>1950</v>
      </c>
      <c r="P179" s="302"/>
      <c r="Q179" s="302"/>
      <c r="R179" s="302"/>
      <c r="S179" s="302"/>
      <c r="T179" s="302"/>
      <c r="U179" s="302"/>
      <c r="V179" s="302"/>
      <c r="W179" s="302"/>
      <c r="X179" s="302"/>
      <c r="Y179" s="302"/>
      <c r="Z179" s="302"/>
      <c r="AA179" s="302"/>
      <c r="AB179" s="302"/>
      <c r="AC179" s="304">
        <v>9810</v>
      </c>
      <c r="AD179" s="300">
        <v>9810</v>
      </c>
      <c r="AE179" s="300">
        <v>9810</v>
      </c>
      <c r="AF179" s="299">
        <v>9750</v>
      </c>
      <c r="AG179" s="294">
        <v>9660</v>
      </c>
      <c r="AH179" s="294">
        <v>9510</v>
      </c>
      <c r="AI179" s="294">
        <v>9510</v>
      </c>
      <c r="AJ179" s="294">
        <v>9360</v>
      </c>
      <c r="AK179" s="294">
        <v>9360</v>
      </c>
      <c r="AL179" s="294">
        <v>8580</v>
      </c>
      <c r="AM179" s="294">
        <v>8400</v>
      </c>
    </row>
    <row r="180" spans="1:52" x14ac:dyDescent="0.2">
      <c r="A180" s="294" t="s">
        <v>263</v>
      </c>
      <c r="B180" s="294" t="s">
        <v>262</v>
      </c>
      <c r="C180" s="294" t="s">
        <v>513</v>
      </c>
      <c r="D180" s="294" t="s">
        <v>521</v>
      </c>
      <c r="E180" s="304">
        <v>2640</v>
      </c>
      <c r="F180" s="300">
        <v>2640</v>
      </c>
      <c r="G180" s="300">
        <v>2640</v>
      </c>
      <c r="H180" s="302">
        <v>2640</v>
      </c>
      <c r="I180" s="302">
        <v>2550</v>
      </c>
      <c r="J180" s="302">
        <v>2520</v>
      </c>
      <c r="K180" s="302">
        <v>2460</v>
      </c>
      <c r="L180" s="302">
        <v>2310</v>
      </c>
      <c r="M180" s="302">
        <v>2020</v>
      </c>
      <c r="N180" s="302">
        <v>1870</v>
      </c>
      <c r="O180" s="302">
        <v>1700</v>
      </c>
      <c r="P180" s="302"/>
      <c r="Q180" s="302"/>
      <c r="R180" s="302"/>
      <c r="S180" s="302"/>
      <c r="T180" s="302"/>
      <c r="U180" s="302"/>
      <c r="V180" s="302"/>
      <c r="W180" s="302"/>
      <c r="X180" s="302"/>
      <c r="Y180" s="302"/>
      <c r="Z180" s="302"/>
      <c r="AA180" s="302"/>
      <c r="AB180" s="302"/>
      <c r="AC180" s="304">
        <v>8715</v>
      </c>
      <c r="AD180" s="300">
        <v>8715</v>
      </c>
      <c r="AE180" s="300">
        <v>8715</v>
      </c>
      <c r="AF180" s="299">
        <v>8715</v>
      </c>
      <c r="AG180" s="294">
        <v>9570</v>
      </c>
      <c r="AH180" s="294">
        <v>9360</v>
      </c>
      <c r="AI180" s="294">
        <v>9120</v>
      </c>
      <c r="AJ180" s="294">
        <v>6450</v>
      </c>
      <c r="AK180" s="294">
        <v>5860</v>
      </c>
      <c r="AL180" s="294">
        <v>4171</v>
      </c>
      <c r="AM180" s="294">
        <v>4940</v>
      </c>
    </row>
    <row r="181" spans="1:52" x14ac:dyDescent="0.2">
      <c r="A181" s="294" t="s">
        <v>263</v>
      </c>
      <c r="B181" s="294" t="s">
        <v>262</v>
      </c>
      <c r="C181" s="294" t="s">
        <v>513</v>
      </c>
      <c r="D181" s="294" t="s">
        <v>520</v>
      </c>
      <c r="E181" s="304">
        <v>2310</v>
      </c>
      <c r="F181" s="300">
        <v>2250</v>
      </c>
      <c r="G181" s="300">
        <v>2180</v>
      </c>
      <c r="H181" s="302">
        <v>2120</v>
      </c>
      <c r="I181" s="302">
        <v>1990</v>
      </c>
      <c r="J181" s="302">
        <v>1930</v>
      </c>
      <c r="K181" s="302">
        <v>1870</v>
      </c>
      <c r="L181" s="302">
        <v>1750</v>
      </c>
      <c r="M181" s="302">
        <v>1630</v>
      </c>
      <c r="N181" s="302">
        <v>1440</v>
      </c>
      <c r="O181" s="302">
        <v>1056</v>
      </c>
      <c r="P181" s="302"/>
      <c r="Q181" s="302"/>
      <c r="R181" s="302"/>
      <c r="S181" s="302"/>
      <c r="T181" s="302"/>
      <c r="U181" s="302"/>
      <c r="V181" s="302"/>
      <c r="W181" s="302"/>
      <c r="X181" s="302"/>
      <c r="Y181" s="302"/>
      <c r="Z181" s="302"/>
      <c r="AA181" s="302"/>
      <c r="AB181" s="302"/>
      <c r="AC181" s="304">
        <v>10740</v>
      </c>
      <c r="AD181" s="300">
        <v>10440</v>
      </c>
      <c r="AE181" s="300">
        <v>10130</v>
      </c>
      <c r="AF181" s="299">
        <v>9830</v>
      </c>
      <c r="AG181" s="294">
        <v>9220</v>
      </c>
      <c r="AH181" s="294">
        <v>9220</v>
      </c>
      <c r="AI181" s="294">
        <v>8920</v>
      </c>
      <c r="AJ181" s="294">
        <v>8170</v>
      </c>
      <c r="AK181" s="294">
        <v>7570</v>
      </c>
      <c r="AL181" s="294">
        <v>7050</v>
      </c>
      <c r="AM181" s="294">
        <v>6900</v>
      </c>
    </row>
    <row r="182" spans="1:52" x14ac:dyDescent="0.2">
      <c r="A182" s="294" t="s">
        <v>263</v>
      </c>
      <c r="B182" s="294" t="s">
        <v>262</v>
      </c>
      <c r="C182" s="294" t="s">
        <v>513</v>
      </c>
      <c r="D182" s="294" t="s">
        <v>519</v>
      </c>
      <c r="E182" s="304">
        <v>2580</v>
      </c>
      <c r="F182" s="300">
        <v>2580</v>
      </c>
      <c r="G182" s="300">
        <v>2580</v>
      </c>
      <c r="H182" s="302">
        <v>2520</v>
      </c>
      <c r="I182" s="302">
        <v>2430</v>
      </c>
      <c r="J182" s="302">
        <v>2280</v>
      </c>
      <c r="K182" s="302">
        <v>2280</v>
      </c>
      <c r="L182" s="302">
        <v>2130</v>
      </c>
      <c r="M182" s="302">
        <v>2130</v>
      </c>
      <c r="N182" s="302">
        <v>2130</v>
      </c>
      <c r="O182" s="302">
        <v>1950</v>
      </c>
      <c r="P182" s="302"/>
      <c r="Q182" s="302"/>
      <c r="R182" s="302"/>
      <c r="S182" s="302"/>
      <c r="T182" s="302"/>
      <c r="U182" s="302"/>
      <c r="V182" s="302"/>
      <c r="W182" s="302"/>
      <c r="X182" s="302"/>
      <c r="Y182" s="302"/>
      <c r="Z182" s="302"/>
      <c r="AA182" s="302"/>
      <c r="AB182" s="302"/>
      <c r="AC182" s="304">
        <v>9810</v>
      </c>
      <c r="AD182" s="300">
        <v>9810</v>
      </c>
      <c r="AE182" s="300">
        <v>9810</v>
      </c>
      <c r="AF182" s="299">
        <v>9750</v>
      </c>
      <c r="AG182" s="294">
        <v>9660</v>
      </c>
      <c r="AH182" s="294">
        <v>9510</v>
      </c>
      <c r="AI182" s="294">
        <v>9510</v>
      </c>
      <c r="AJ182" s="294">
        <v>9360</v>
      </c>
      <c r="AK182" s="294">
        <v>9360</v>
      </c>
      <c r="AL182" s="294">
        <v>8580</v>
      </c>
      <c r="AM182" s="294">
        <v>8400</v>
      </c>
    </row>
    <row r="183" spans="1:52" x14ac:dyDescent="0.2">
      <c r="A183" s="294" t="s">
        <v>263</v>
      </c>
      <c r="B183" s="294" t="s">
        <v>262</v>
      </c>
      <c r="C183" s="294" t="s">
        <v>513</v>
      </c>
      <c r="D183" s="294" t="s">
        <v>518</v>
      </c>
      <c r="E183" s="304">
        <v>2580</v>
      </c>
      <c r="F183" s="300">
        <v>2580</v>
      </c>
      <c r="G183" s="300">
        <v>2580</v>
      </c>
      <c r="H183" s="302">
        <v>2520</v>
      </c>
      <c r="I183" s="302">
        <v>2430</v>
      </c>
      <c r="J183" s="302">
        <v>2280</v>
      </c>
      <c r="K183" s="302">
        <v>2280</v>
      </c>
      <c r="L183" s="302">
        <v>2130</v>
      </c>
      <c r="M183" s="302">
        <v>2130</v>
      </c>
      <c r="N183" s="302">
        <v>2130</v>
      </c>
      <c r="O183" s="302">
        <v>1950</v>
      </c>
      <c r="P183" s="302"/>
      <c r="Q183" s="302"/>
      <c r="R183" s="302"/>
      <c r="S183" s="302"/>
      <c r="T183" s="302"/>
      <c r="U183" s="302"/>
      <c r="V183" s="302"/>
      <c r="W183" s="302"/>
      <c r="X183" s="302"/>
      <c r="Y183" s="302"/>
      <c r="Z183" s="302"/>
      <c r="AA183" s="302"/>
      <c r="AB183" s="302"/>
      <c r="AC183" s="304">
        <v>9810</v>
      </c>
      <c r="AD183" s="300">
        <v>9810</v>
      </c>
      <c r="AE183" s="300">
        <v>9810</v>
      </c>
      <c r="AF183" s="299">
        <v>9750</v>
      </c>
      <c r="AG183" s="294">
        <v>9660</v>
      </c>
      <c r="AH183" s="294">
        <v>9510</v>
      </c>
      <c r="AI183" s="294">
        <v>9510</v>
      </c>
      <c r="AJ183" s="294">
        <v>9360</v>
      </c>
      <c r="AK183" s="294">
        <v>9360</v>
      </c>
      <c r="AL183" s="294">
        <v>8580</v>
      </c>
      <c r="AM183" s="294">
        <v>8400</v>
      </c>
    </row>
    <row r="184" spans="1:52" x14ac:dyDescent="0.2">
      <c r="A184" s="294" t="s">
        <v>263</v>
      </c>
      <c r="B184" s="294" t="s">
        <v>262</v>
      </c>
      <c r="C184" s="294" t="s">
        <v>513</v>
      </c>
      <c r="D184" s="294" t="s">
        <v>517</v>
      </c>
      <c r="E184" s="304">
        <v>2670</v>
      </c>
      <c r="F184" s="300">
        <v>2640</v>
      </c>
      <c r="G184" s="300">
        <v>2550</v>
      </c>
      <c r="H184" s="302">
        <v>2460</v>
      </c>
      <c r="I184" s="302">
        <v>2150</v>
      </c>
      <c r="J184" s="302">
        <v>2060</v>
      </c>
      <c r="K184" s="302">
        <v>1910</v>
      </c>
      <c r="L184" s="302">
        <v>1760</v>
      </c>
      <c r="M184" s="302">
        <v>1685</v>
      </c>
      <c r="N184" s="302">
        <v>1625</v>
      </c>
      <c r="O184" s="302">
        <v>1565</v>
      </c>
      <c r="P184" s="302"/>
      <c r="Q184" s="302"/>
      <c r="R184" s="302"/>
      <c r="S184" s="302"/>
      <c r="T184" s="302"/>
      <c r="U184" s="302"/>
      <c r="V184" s="302"/>
      <c r="W184" s="302"/>
      <c r="X184" s="302"/>
      <c r="Y184" s="302"/>
      <c r="Z184" s="302"/>
      <c r="AA184" s="302"/>
      <c r="AB184" s="302"/>
      <c r="AC184" s="304">
        <v>9315</v>
      </c>
      <c r="AD184" s="300">
        <v>9285</v>
      </c>
      <c r="AE184" s="300">
        <v>9195</v>
      </c>
      <c r="AF184" s="299">
        <v>10755</v>
      </c>
      <c r="AG184" s="294">
        <v>10055</v>
      </c>
      <c r="AH184" s="294">
        <v>9725</v>
      </c>
      <c r="AI184" s="294">
        <v>8975</v>
      </c>
      <c r="AJ184" s="294">
        <v>8225</v>
      </c>
      <c r="AK184" s="294">
        <v>7910</v>
      </c>
      <c r="AL184" s="294">
        <v>7610</v>
      </c>
      <c r="AM184" s="294">
        <v>7235</v>
      </c>
    </row>
    <row r="185" spans="1:52" x14ac:dyDescent="0.2">
      <c r="A185" s="294" t="s">
        <v>263</v>
      </c>
      <c r="B185" s="294" t="s">
        <v>262</v>
      </c>
      <c r="C185" s="294" t="s">
        <v>513</v>
      </c>
      <c r="D185" s="294" t="s">
        <v>516</v>
      </c>
      <c r="E185" s="304">
        <v>2580</v>
      </c>
      <c r="F185" s="300">
        <v>2580</v>
      </c>
      <c r="G185" s="300">
        <v>2580</v>
      </c>
      <c r="H185" s="302">
        <v>2520</v>
      </c>
      <c r="I185" s="302">
        <v>2430</v>
      </c>
      <c r="J185" s="302">
        <v>2280</v>
      </c>
      <c r="K185" s="302">
        <v>2280</v>
      </c>
      <c r="L185" s="302">
        <v>2130</v>
      </c>
      <c r="M185" s="302">
        <v>2130</v>
      </c>
      <c r="N185" s="302">
        <v>2130</v>
      </c>
      <c r="O185" s="302">
        <v>1950</v>
      </c>
      <c r="P185" s="302"/>
      <c r="Q185" s="302"/>
      <c r="R185" s="302"/>
      <c r="S185" s="302"/>
      <c r="T185" s="302"/>
      <c r="U185" s="302"/>
      <c r="V185" s="302"/>
      <c r="W185" s="302"/>
      <c r="X185" s="302"/>
      <c r="Y185" s="302"/>
      <c r="Z185" s="302"/>
      <c r="AA185" s="302"/>
      <c r="AB185" s="302"/>
      <c r="AC185" s="304">
        <v>9810</v>
      </c>
      <c r="AD185" s="300">
        <v>9810</v>
      </c>
      <c r="AE185" s="300">
        <v>9810</v>
      </c>
      <c r="AF185" s="299">
        <v>9750</v>
      </c>
      <c r="AG185" s="294">
        <v>9660</v>
      </c>
      <c r="AH185" s="294">
        <v>9510</v>
      </c>
      <c r="AI185" s="294">
        <v>9510</v>
      </c>
      <c r="AJ185" s="294">
        <v>9360</v>
      </c>
      <c r="AK185" s="294">
        <v>9360</v>
      </c>
      <c r="AL185" s="294">
        <v>8580</v>
      </c>
      <c r="AM185" s="294">
        <v>8400</v>
      </c>
    </row>
    <row r="186" spans="1:52" x14ac:dyDescent="0.2">
      <c r="A186" s="294" t="s">
        <v>263</v>
      </c>
      <c r="B186" s="294" t="s">
        <v>262</v>
      </c>
      <c r="C186" s="294" t="s">
        <v>513</v>
      </c>
      <c r="D186" s="294" t="s">
        <v>515</v>
      </c>
      <c r="E186" s="304">
        <v>2580</v>
      </c>
      <c r="F186" s="300">
        <v>2580</v>
      </c>
      <c r="G186" s="300">
        <v>2580</v>
      </c>
      <c r="H186" s="302">
        <v>2520</v>
      </c>
      <c r="I186" s="302">
        <v>2430</v>
      </c>
      <c r="J186" s="302">
        <v>2280</v>
      </c>
      <c r="K186" s="302">
        <v>2280</v>
      </c>
      <c r="L186" s="302">
        <v>2130</v>
      </c>
      <c r="M186" s="302">
        <v>2130</v>
      </c>
      <c r="N186" s="302">
        <v>2130</v>
      </c>
      <c r="O186" s="302">
        <v>1950</v>
      </c>
      <c r="P186" s="302"/>
      <c r="Q186" s="302"/>
      <c r="R186" s="302"/>
      <c r="S186" s="302"/>
      <c r="T186" s="302"/>
      <c r="U186" s="302"/>
      <c r="V186" s="302"/>
      <c r="W186" s="302"/>
      <c r="X186" s="302"/>
      <c r="Y186" s="302"/>
      <c r="Z186" s="302"/>
      <c r="AA186" s="302"/>
      <c r="AB186" s="302"/>
      <c r="AC186" s="304">
        <v>9810</v>
      </c>
      <c r="AD186" s="300">
        <v>9810</v>
      </c>
      <c r="AE186" s="300">
        <v>9810</v>
      </c>
      <c r="AF186" s="299">
        <v>9750</v>
      </c>
      <c r="AG186" s="294">
        <v>9660</v>
      </c>
      <c r="AH186" s="294">
        <v>9510</v>
      </c>
      <c r="AI186" s="294">
        <v>9510</v>
      </c>
      <c r="AJ186" s="294">
        <v>9360</v>
      </c>
      <c r="AK186" s="294">
        <v>9360</v>
      </c>
      <c r="AL186" s="294">
        <v>8580</v>
      </c>
      <c r="AM186" s="294">
        <v>8400</v>
      </c>
    </row>
    <row r="187" spans="1:52" x14ac:dyDescent="0.2">
      <c r="A187" s="294" t="s">
        <v>263</v>
      </c>
      <c r="B187" s="294" t="s">
        <v>262</v>
      </c>
      <c r="C187" s="294" t="s">
        <v>513</v>
      </c>
      <c r="D187" s="294" t="s">
        <v>514</v>
      </c>
      <c r="E187" s="304">
        <v>2580</v>
      </c>
      <c r="F187" s="300">
        <v>2580</v>
      </c>
      <c r="G187" s="300">
        <v>2580</v>
      </c>
      <c r="H187" s="302">
        <v>2520</v>
      </c>
      <c r="I187" s="302">
        <v>2430</v>
      </c>
      <c r="J187" s="302">
        <v>2280</v>
      </c>
      <c r="K187" s="302">
        <v>2280</v>
      </c>
      <c r="L187" s="302">
        <v>2130</v>
      </c>
      <c r="M187" s="302">
        <v>2130</v>
      </c>
      <c r="N187" s="302">
        <v>2130</v>
      </c>
      <c r="O187" s="302">
        <v>1950</v>
      </c>
      <c r="P187" s="302"/>
      <c r="Q187" s="302"/>
      <c r="R187" s="302"/>
      <c r="S187" s="302"/>
      <c r="T187" s="302"/>
      <c r="U187" s="302"/>
      <c r="V187" s="302"/>
      <c r="W187" s="302"/>
      <c r="X187" s="302"/>
      <c r="Y187" s="302"/>
      <c r="Z187" s="302"/>
      <c r="AA187" s="302"/>
      <c r="AB187" s="302"/>
      <c r="AC187" s="304">
        <v>9810</v>
      </c>
      <c r="AD187" s="300">
        <v>9810</v>
      </c>
      <c r="AE187" s="300">
        <v>9810</v>
      </c>
      <c r="AF187" s="299">
        <v>9750</v>
      </c>
      <c r="AG187" s="294">
        <v>9660</v>
      </c>
      <c r="AH187" s="294">
        <v>9510</v>
      </c>
      <c r="AI187" s="294">
        <v>9510</v>
      </c>
      <c r="AJ187" s="294">
        <v>9360</v>
      </c>
      <c r="AK187" s="294">
        <v>9360</v>
      </c>
      <c r="AL187" s="294">
        <v>8580</v>
      </c>
      <c r="AM187" s="294">
        <v>8400</v>
      </c>
    </row>
    <row r="188" spans="1:52" x14ac:dyDescent="0.2">
      <c r="A188" s="294" t="s">
        <v>263</v>
      </c>
      <c r="B188" s="294" t="s">
        <v>262</v>
      </c>
      <c r="C188" s="294" t="s">
        <v>513</v>
      </c>
      <c r="D188" s="294" t="s">
        <v>512</v>
      </c>
      <c r="E188" s="304">
        <v>2950</v>
      </c>
      <c r="F188" s="300">
        <v>2859</v>
      </c>
      <c r="G188" s="300">
        <v>2844</v>
      </c>
      <c r="H188" s="302">
        <v>2586</v>
      </c>
      <c r="I188" s="302">
        <v>2360</v>
      </c>
      <c r="J188" s="302">
        <v>2100</v>
      </c>
      <c r="K188" s="302">
        <v>2010</v>
      </c>
      <c r="L188" s="302">
        <v>1488</v>
      </c>
      <c r="M188" s="302">
        <v>1392</v>
      </c>
      <c r="N188" s="302">
        <v>1248</v>
      </c>
      <c r="O188" s="302">
        <v>1176</v>
      </c>
      <c r="P188" s="302"/>
      <c r="Q188" s="302"/>
      <c r="R188" s="302"/>
      <c r="S188" s="302"/>
      <c r="T188" s="302"/>
      <c r="U188" s="302"/>
      <c r="V188" s="302"/>
      <c r="W188" s="302"/>
      <c r="X188" s="302"/>
      <c r="Y188" s="302"/>
      <c r="Z188" s="302"/>
      <c r="AA188" s="302"/>
      <c r="AB188" s="302"/>
      <c r="AC188" s="304">
        <v>11246</v>
      </c>
      <c r="AD188" s="300">
        <v>11226</v>
      </c>
      <c r="AE188" s="300">
        <v>11387</v>
      </c>
      <c r="AF188" s="299">
        <v>10867</v>
      </c>
      <c r="AG188" s="294">
        <v>9900</v>
      </c>
      <c r="AH188" s="294">
        <v>9708</v>
      </c>
      <c r="AI188" s="294">
        <v>8802</v>
      </c>
      <c r="AJ188" s="294">
        <v>8158</v>
      </c>
      <c r="AK188" s="294">
        <v>8062</v>
      </c>
      <c r="AL188" s="294">
        <v>7918</v>
      </c>
      <c r="AM188" s="294">
        <v>7846</v>
      </c>
    </row>
    <row r="189" spans="1:52" x14ac:dyDescent="0.2">
      <c r="A189" s="294" t="s">
        <v>263</v>
      </c>
      <c r="C189" s="294" t="s">
        <v>401</v>
      </c>
      <c r="D189" s="294" t="s">
        <v>511</v>
      </c>
      <c r="E189" s="304">
        <v>1380</v>
      </c>
      <c r="F189" s="302">
        <v>1380</v>
      </c>
      <c r="G189" s="302">
        <v>1380</v>
      </c>
      <c r="H189" s="302">
        <v>1380</v>
      </c>
      <c r="I189" s="302">
        <v>1104</v>
      </c>
      <c r="J189" s="302">
        <v>1104</v>
      </c>
      <c r="K189" s="302">
        <v>1080</v>
      </c>
      <c r="L189" s="302">
        <v>780</v>
      </c>
      <c r="M189" s="302">
        <v>780</v>
      </c>
      <c r="N189" s="302">
        <v>600</v>
      </c>
      <c r="O189" s="302">
        <v>600</v>
      </c>
      <c r="P189" s="302"/>
      <c r="Q189" s="302"/>
      <c r="R189" s="302"/>
      <c r="S189" s="302"/>
      <c r="T189" s="302"/>
      <c r="U189" s="302"/>
      <c r="V189" s="302"/>
      <c r="W189" s="302"/>
      <c r="X189" s="302"/>
      <c r="Y189" s="302"/>
      <c r="Z189" s="302"/>
      <c r="AA189" s="302"/>
      <c r="AB189" s="302"/>
      <c r="AC189" s="304">
        <v>9570</v>
      </c>
      <c r="AD189" s="300">
        <v>8730</v>
      </c>
      <c r="AE189" s="300">
        <v>9420</v>
      </c>
      <c r="AF189" s="294">
        <v>6960</v>
      </c>
      <c r="AG189" s="294">
        <v>7176</v>
      </c>
      <c r="AH189" s="294">
        <v>6486</v>
      </c>
      <c r="AI189" s="294">
        <v>6096</v>
      </c>
      <c r="AJ189" s="294">
        <v>6750</v>
      </c>
      <c r="AK189" s="294">
        <v>6480</v>
      </c>
      <c r="AL189" s="294">
        <v>6630</v>
      </c>
      <c r="AM189" s="294">
        <v>5790</v>
      </c>
      <c r="AZ189" s="312"/>
    </row>
    <row r="190" spans="1:52" x14ac:dyDescent="0.2">
      <c r="A190" s="294" t="s">
        <v>263</v>
      </c>
      <c r="C190" s="294" t="s">
        <v>401</v>
      </c>
      <c r="D190" s="294" t="s">
        <v>510</v>
      </c>
      <c r="E190" s="304">
        <v>1380</v>
      </c>
      <c r="F190" s="302">
        <v>1380</v>
      </c>
      <c r="G190" s="302">
        <v>1380</v>
      </c>
      <c r="H190" s="302">
        <v>1380</v>
      </c>
      <c r="I190" s="302">
        <v>1104</v>
      </c>
      <c r="J190" s="302">
        <v>1104</v>
      </c>
      <c r="K190" s="302">
        <v>1080</v>
      </c>
      <c r="L190" s="302">
        <v>780</v>
      </c>
      <c r="M190" s="302">
        <v>780</v>
      </c>
      <c r="N190" s="302">
        <v>600</v>
      </c>
      <c r="O190" s="302">
        <v>600</v>
      </c>
      <c r="P190" s="302"/>
      <c r="Q190" s="302"/>
      <c r="R190" s="302"/>
      <c r="S190" s="302"/>
      <c r="T190" s="302"/>
      <c r="U190" s="302"/>
      <c r="V190" s="302"/>
      <c r="W190" s="302"/>
      <c r="X190" s="302"/>
      <c r="Y190" s="302"/>
      <c r="Z190" s="302"/>
      <c r="AA190" s="302"/>
      <c r="AB190" s="302"/>
      <c r="AC190" s="304">
        <v>7860</v>
      </c>
      <c r="AD190" s="300">
        <v>8400</v>
      </c>
      <c r="AE190" s="300">
        <v>7320</v>
      </c>
      <c r="AF190" s="294">
        <v>6330</v>
      </c>
      <c r="AG190" s="294">
        <v>6480</v>
      </c>
      <c r="AH190" s="294">
        <v>6480</v>
      </c>
      <c r="AI190" s="294">
        <v>6480</v>
      </c>
      <c r="AJ190" s="294">
        <v>6480</v>
      </c>
      <c r="AK190" s="294">
        <v>6480</v>
      </c>
      <c r="AL190" s="294">
        <v>6630</v>
      </c>
      <c r="AM190" s="294">
        <v>5790</v>
      </c>
      <c r="AZ190" s="312"/>
    </row>
    <row r="191" spans="1:52" x14ac:dyDescent="0.2">
      <c r="A191" s="294" t="s">
        <v>263</v>
      </c>
      <c r="C191" s="294" t="s">
        <v>401</v>
      </c>
      <c r="D191" s="294" t="s">
        <v>509</v>
      </c>
      <c r="E191" s="304">
        <v>1380</v>
      </c>
      <c r="F191" s="302">
        <v>1380</v>
      </c>
      <c r="G191" s="302">
        <v>1380</v>
      </c>
      <c r="H191" s="302">
        <v>1380</v>
      </c>
      <c r="I191" s="302">
        <v>1104</v>
      </c>
      <c r="J191" s="302">
        <v>1104</v>
      </c>
      <c r="K191" s="302">
        <v>1080</v>
      </c>
      <c r="L191" s="302">
        <v>780</v>
      </c>
      <c r="M191" s="302">
        <v>780</v>
      </c>
      <c r="N191" s="302">
        <v>600</v>
      </c>
      <c r="O191" s="302">
        <v>600</v>
      </c>
      <c r="P191" s="302"/>
      <c r="Q191" s="302"/>
      <c r="R191" s="302"/>
      <c r="S191" s="302"/>
      <c r="T191" s="302"/>
      <c r="U191" s="302"/>
      <c r="V191" s="302"/>
      <c r="W191" s="302"/>
      <c r="X191" s="302"/>
      <c r="Y191" s="302"/>
      <c r="Z191" s="302"/>
      <c r="AA191" s="302"/>
      <c r="AB191" s="302"/>
      <c r="AC191" s="304">
        <v>9510</v>
      </c>
      <c r="AD191" s="300">
        <v>8880</v>
      </c>
      <c r="AE191" s="300">
        <v>8250</v>
      </c>
      <c r="AF191" s="294">
        <v>7320</v>
      </c>
      <c r="AG191" s="294">
        <v>6498</v>
      </c>
      <c r="AH191" s="294">
        <v>6498</v>
      </c>
      <c r="AI191" s="294">
        <v>6498</v>
      </c>
      <c r="AJ191" s="294">
        <v>6480</v>
      </c>
      <c r="AK191" s="294">
        <v>6480</v>
      </c>
      <c r="AL191" s="294">
        <v>6630</v>
      </c>
      <c r="AM191" s="294">
        <v>5790</v>
      </c>
      <c r="AZ191" s="312"/>
    </row>
    <row r="192" spans="1:52" x14ac:dyDescent="0.2">
      <c r="A192" s="294" t="s">
        <v>263</v>
      </c>
      <c r="C192" s="294" t="s">
        <v>401</v>
      </c>
      <c r="D192" s="294" t="s">
        <v>508</v>
      </c>
      <c r="E192" s="304">
        <v>1380</v>
      </c>
      <c r="F192" s="302">
        <v>1380</v>
      </c>
      <c r="G192" s="302">
        <v>1380</v>
      </c>
      <c r="H192" s="302">
        <v>1380</v>
      </c>
      <c r="I192" s="302">
        <v>1104</v>
      </c>
      <c r="J192" s="302">
        <v>1104</v>
      </c>
      <c r="K192" s="302">
        <v>1080</v>
      </c>
      <c r="L192" s="302">
        <v>780</v>
      </c>
      <c r="M192" s="302">
        <v>780</v>
      </c>
      <c r="N192" s="302">
        <v>600</v>
      </c>
      <c r="O192" s="302">
        <v>600</v>
      </c>
      <c r="P192" s="302"/>
      <c r="Q192" s="302"/>
      <c r="R192" s="302"/>
      <c r="S192" s="302"/>
      <c r="T192" s="302"/>
      <c r="U192" s="302"/>
      <c r="V192" s="302"/>
      <c r="W192" s="302"/>
      <c r="X192" s="302"/>
      <c r="Y192" s="302"/>
      <c r="Z192" s="302"/>
      <c r="AA192" s="302"/>
      <c r="AB192" s="302"/>
      <c r="AC192" s="304">
        <v>9120</v>
      </c>
      <c r="AD192" s="300">
        <v>8400</v>
      </c>
      <c r="AE192" s="300">
        <v>7710</v>
      </c>
      <c r="AF192" s="294">
        <v>6780</v>
      </c>
      <c r="AG192" s="294">
        <v>6480</v>
      </c>
      <c r="AH192" s="294">
        <v>6360</v>
      </c>
      <c r="AI192" s="294">
        <v>6360</v>
      </c>
      <c r="AJ192" s="294">
        <v>6270</v>
      </c>
      <c r="AK192" s="294">
        <v>6480</v>
      </c>
      <c r="AL192" s="294">
        <v>6630</v>
      </c>
      <c r="AM192" s="294">
        <v>5790</v>
      </c>
      <c r="AZ192" s="312"/>
    </row>
    <row r="193" spans="1:52" x14ac:dyDescent="0.2">
      <c r="A193" s="294" t="s">
        <v>263</v>
      </c>
      <c r="C193" s="294" t="s">
        <v>401</v>
      </c>
      <c r="D193" s="294" t="s">
        <v>507</v>
      </c>
      <c r="E193" s="304">
        <v>1380</v>
      </c>
      <c r="F193" s="302">
        <v>1380</v>
      </c>
      <c r="G193" s="302">
        <v>1380</v>
      </c>
      <c r="H193" s="302">
        <v>1380</v>
      </c>
      <c r="I193" s="302">
        <v>1104</v>
      </c>
      <c r="J193" s="302">
        <v>1104</v>
      </c>
      <c r="K193" s="302">
        <v>1080</v>
      </c>
      <c r="L193" s="302">
        <v>780</v>
      </c>
      <c r="M193" s="302">
        <v>780</v>
      </c>
      <c r="N193" s="302">
        <v>600</v>
      </c>
      <c r="O193" s="302">
        <v>600</v>
      </c>
      <c r="P193" s="302"/>
      <c r="Q193" s="302"/>
      <c r="R193" s="302"/>
      <c r="S193" s="302"/>
      <c r="T193" s="302"/>
      <c r="U193" s="302"/>
      <c r="V193" s="302"/>
      <c r="W193" s="302"/>
      <c r="X193" s="302"/>
      <c r="Y193" s="302"/>
      <c r="Z193" s="302"/>
      <c r="AA193" s="302"/>
      <c r="AB193" s="302"/>
      <c r="AC193" s="304">
        <v>7800</v>
      </c>
      <c r="AD193" s="300">
        <v>8400</v>
      </c>
      <c r="AE193" s="300">
        <v>8340</v>
      </c>
      <c r="AF193" s="294">
        <v>6990</v>
      </c>
      <c r="AG193" s="294">
        <v>6639</v>
      </c>
      <c r="AH193" s="294">
        <v>6509</v>
      </c>
      <c r="AI193" s="294">
        <v>6000</v>
      </c>
      <c r="AJ193" s="294">
        <v>6300</v>
      </c>
      <c r="AK193" s="294">
        <v>6810</v>
      </c>
      <c r="AL193" s="294">
        <v>7110</v>
      </c>
      <c r="AM193" s="294">
        <v>6300</v>
      </c>
      <c r="AZ193" s="312"/>
    </row>
    <row r="194" spans="1:52" x14ac:dyDescent="0.2">
      <c r="A194" s="294" t="s">
        <v>263</v>
      </c>
      <c r="C194" s="294" t="s">
        <v>401</v>
      </c>
      <c r="D194" s="294" t="s">
        <v>506</v>
      </c>
      <c r="E194" s="304">
        <v>1380</v>
      </c>
      <c r="F194" s="302">
        <v>1380</v>
      </c>
      <c r="G194" s="302">
        <v>1380</v>
      </c>
      <c r="H194" s="302">
        <v>1380</v>
      </c>
      <c r="I194" s="302">
        <v>1104</v>
      </c>
      <c r="J194" s="302">
        <v>1104</v>
      </c>
      <c r="K194" s="302">
        <v>1080</v>
      </c>
      <c r="L194" s="302">
        <v>780</v>
      </c>
      <c r="M194" s="302">
        <v>780</v>
      </c>
      <c r="N194" s="302">
        <v>600</v>
      </c>
      <c r="O194" s="302">
        <v>600</v>
      </c>
      <c r="P194" s="302"/>
      <c r="Q194" s="302"/>
      <c r="R194" s="302"/>
      <c r="S194" s="302"/>
      <c r="T194" s="302"/>
      <c r="U194" s="302"/>
      <c r="V194" s="302"/>
      <c r="W194" s="302"/>
      <c r="X194" s="302"/>
      <c r="Y194" s="302"/>
      <c r="Z194" s="302"/>
      <c r="AA194" s="302"/>
      <c r="AB194" s="302"/>
      <c r="AC194" s="304">
        <v>9120</v>
      </c>
      <c r="AD194" s="300">
        <v>8400</v>
      </c>
      <c r="AE194" s="300">
        <v>7710</v>
      </c>
      <c r="AF194" s="294">
        <v>6780</v>
      </c>
      <c r="AG194" s="294">
        <v>6300</v>
      </c>
      <c r="AH194" s="294">
        <v>6150</v>
      </c>
      <c r="AI194" s="294">
        <v>6060</v>
      </c>
      <c r="AJ194" s="294">
        <v>6270</v>
      </c>
      <c r="AK194" s="294">
        <v>6120</v>
      </c>
      <c r="AL194" s="294">
        <v>6120</v>
      </c>
      <c r="AM194" s="294">
        <v>5790</v>
      </c>
      <c r="AZ194" s="312"/>
    </row>
    <row r="195" spans="1:52" x14ac:dyDescent="0.2">
      <c r="A195" s="294" t="s">
        <v>263</v>
      </c>
      <c r="C195" s="294" t="s">
        <v>401</v>
      </c>
      <c r="D195" s="294" t="s">
        <v>505</v>
      </c>
      <c r="E195" s="304">
        <v>1380</v>
      </c>
      <c r="F195" s="302">
        <v>1380</v>
      </c>
      <c r="G195" s="302">
        <v>1380</v>
      </c>
      <c r="H195" s="302">
        <v>1380</v>
      </c>
      <c r="I195" s="302">
        <v>1104</v>
      </c>
      <c r="J195" s="302">
        <v>1104</v>
      </c>
      <c r="K195" s="302">
        <v>1080</v>
      </c>
      <c r="L195" s="314">
        <v>780</v>
      </c>
      <c r="M195" s="314">
        <v>780</v>
      </c>
      <c r="N195" s="314">
        <v>600</v>
      </c>
      <c r="O195" s="314">
        <v>600</v>
      </c>
      <c r="P195" s="302"/>
      <c r="Q195" s="302"/>
      <c r="R195" s="302"/>
      <c r="S195" s="302"/>
      <c r="T195" s="302"/>
      <c r="U195" s="302"/>
      <c r="V195" s="302"/>
      <c r="W195" s="302"/>
      <c r="X195" s="302"/>
      <c r="Y195" s="302"/>
      <c r="Z195" s="302"/>
      <c r="AA195" s="302"/>
      <c r="AB195" s="302"/>
      <c r="AC195" s="304">
        <v>9570</v>
      </c>
      <c r="AD195" s="300">
        <v>8730</v>
      </c>
      <c r="AE195" s="300">
        <v>9420</v>
      </c>
      <c r="AF195" s="294">
        <v>6960</v>
      </c>
      <c r="AG195" s="294">
        <v>7176</v>
      </c>
      <c r="AH195" s="294">
        <v>6486</v>
      </c>
      <c r="AI195" s="294">
        <v>6096</v>
      </c>
      <c r="AJ195" s="313">
        <v>6270</v>
      </c>
      <c r="AK195" s="313">
        <v>6480</v>
      </c>
      <c r="AL195" s="313">
        <v>6630</v>
      </c>
      <c r="AM195" s="313">
        <v>5790</v>
      </c>
      <c r="AZ195" s="312"/>
    </row>
    <row r="196" spans="1:52" x14ac:dyDescent="0.2">
      <c r="A196" s="294" t="s">
        <v>263</v>
      </c>
      <c r="C196" s="294" t="s">
        <v>401</v>
      </c>
      <c r="D196" s="294" t="s">
        <v>504</v>
      </c>
      <c r="E196" s="304">
        <v>1380</v>
      </c>
      <c r="F196" s="302">
        <v>1380</v>
      </c>
      <c r="G196" s="302">
        <v>1380</v>
      </c>
      <c r="H196" s="302">
        <v>1380</v>
      </c>
      <c r="I196" s="302">
        <v>1104</v>
      </c>
      <c r="J196" s="302">
        <v>1104</v>
      </c>
      <c r="K196" s="302">
        <v>1080</v>
      </c>
      <c r="L196" s="302">
        <v>780</v>
      </c>
      <c r="M196" s="302">
        <v>780</v>
      </c>
      <c r="N196" s="302">
        <v>600</v>
      </c>
      <c r="O196" s="302">
        <v>600</v>
      </c>
      <c r="P196" s="302"/>
      <c r="Q196" s="302"/>
      <c r="R196" s="302"/>
      <c r="S196" s="302"/>
      <c r="T196" s="302"/>
      <c r="U196" s="302"/>
      <c r="V196" s="302"/>
      <c r="W196" s="302"/>
      <c r="X196" s="302"/>
      <c r="Y196" s="302"/>
      <c r="Z196" s="302"/>
      <c r="AA196" s="302"/>
      <c r="AB196" s="302"/>
      <c r="AC196" s="304">
        <v>8400</v>
      </c>
      <c r="AD196" s="300">
        <v>8400</v>
      </c>
      <c r="AE196" s="300">
        <v>7830</v>
      </c>
      <c r="AF196" s="294">
        <v>7230</v>
      </c>
      <c r="AG196" s="294">
        <v>6780</v>
      </c>
      <c r="AH196" s="294">
        <v>6780</v>
      </c>
      <c r="AI196" s="294">
        <v>6780</v>
      </c>
      <c r="AJ196" s="294">
        <v>6480</v>
      </c>
      <c r="AK196" s="294">
        <v>6480</v>
      </c>
      <c r="AL196" s="294">
        <v>6750</v>
      </c>
      <c r="AM196" s="294">
        <v>6150</v>
      </c>
      <c r="AZ196" s="312"/>
    </row>
    <row r="197" spans="1:52" x14ac:dyDescent="0.2">
      <c r="A197" s="294" t="s">
        <v>263</v>
      </c>
      <c r="C197" s="294" t="s">
        <v>401</v>
      </c>
      <c r="D197" s="294" t="s">
        <v>503</v>
      </c>
      <c r="E197" s="304">
        <v>1380</v>
      </c>
      <c r="F197" s="302">
        <v>1380</v>
      </c>
      <c r="G197" s="302">
        <v>1380</v>
      </c>
      <c r="H197" s="302">
        <v>1380</v>
      </c>
      <c r="I197" s="302">
        <v>1104</v>
      </c>
      <c r="J197" s="302">
        <v>1104</v>
      </c>
      <c r="K197" s="302">
        <v>1080</v>
      </c>
      <c r="L197" s="302">
        <v>780</v>
      </c>
      <c r="M197" s="302">
        <v>780</v>
      </c>
      <c r="N197" s="302">
        <v>600</v>
      </c>
      <c r="O197" s="302">
        <v>600</v>
      </c>
      <c r="P197" s="302"/>
      <c r="Q197" s="302"/>
      <c r="R197" s="302"/>
      <c r="S197" s="302"/>
      <c r="T197" s="302"/>
      <c r="U197" s="302"/>
      <c r="V197" s="302"/>
      <c r="W197" s="302"/>
      <c r="X197" s="302"/>
      <c r="Y197" s="302"/>
      <c r="Z197" s="302"/>
      <c r="AA197" s="302"/>
      <c r="AB197" s="302"/>
      <c r="AC197" s="304">
        <v>9180</v>
      </c>
      <c r="AD197" s="300">
        <v>8580</v>
      </c>
      <c r="AE197" s="300">
        <v>7650</v>
      </c>
      <c r="AF197" s="294">
        <v>6960</v>
      </c>
      <c r="AG197" s="294">
        <v>6813</v>
      </c>
      <c r="AH197" s="294">
        <v>6784</v>
      </c>
      <c r="AI197" s="294">
        <v>6096</v>
      </c>
      <c r="AJ197" s="294">
        <v>6270</v>
      </c>
      <c r="AK197" s="294">
        <v>6480</v>
      </c>
      <c r="AL197" s="294">
        <v>6630</v>
      </c>
      <c r="AM197" s="294">
        <v>5820</v>
      </c>
      <c r="AZ197" s="312"/>
    </row>
    <row r="198" spans="1:52" x14ac:dyDescent="0.2">
      <c r="A198" s="294" t="s">
        <v>263</v>
      </c>
      <c r="C198" s="294" t="s">
        <v>401</v>
      </c>
      <c r="D198" s="294" t="s">
        <v>502</v>
      </c>
      <c r="E198" s="304">
        <v>1380</v>
      </c>
      <c r="F198" s="302">
        <v>1380</v>
      </c>
      <c r="G198" s="302">
        <v>1380</v>
      </c>
      <c r="H198" s="302">
        <v>1380</v>
      </c>
      <c r="I198" s="302">
        <v>1104</v>
      </c>
      <c r="J198" s="302">
        <v>1104</v>
      </c>
      <c r="K198" s="302">
        <v>1080</v>
      </c>
      <c r="L198" s="302">
        <v>780</v>
      </c>
      <c r="M198" s="302">
        <v>780</v>
      </c>
      <c r="N198" s="302">
        <v>600</v>
      </c>
      <c r="O198" s="302">
        <v>600</v>
      </c>
      <c r="P198" s="302"/>
      <c r="Q198" s="302"/>
      <c r="R198" s="302"/>
      <c r="S198" s="302"/>
      <c r="T198" s="302"/>
      <c r="U198" s="302"/>
      <c r="V198" s="302"/>
      <c r="W198" s="302"/>
      <c r="X198" s="302"/>
      <c r="Y198" s="302"/>
      <c r="Z198" s="302"/>
      <c r="AA198" s="302"/>
      <c r="AB198" s="302"/>
      <c r="AC198" s="304">
        <v>8610</v>
      </c>
      <c r="AD198" s="300">
        <v>8460</v>
      </c>
      <c r="AE198" s="300">
        <v>7950</v>
      </c>
      <c r="AF198" s="294">
        <v>7350</v>
      </c>
      <c r="AG198" s="294">
        <v>7047</v>
      </c>
      <c r="AH198" s="294">
        <v>6909</v>
      </c>
      <c r="AI198" s="313">
        <v>6879</v>
      </c>
      <c r="AJ198" s="294">
        <v>6750</v>
      </c>
      <c r="AK198" s="294">
        <v>6600</v>
      </c>
      <c r="AL198" s="294">
        <v>6930</v>
      </c>
      <c r="AM198" s="294">
        <v>6120</v>
      </c>
      <c r="AZ198" s="312"/>
    </row>
    <row r="199" spans="1:52" x14ac:dyDescent="0.2">
      <c r="A199" s="294" t="s">
        <v>263</v>
      </c>
      <c r="C199" s="294" t="s">
        <v>401</v>
      </c>
      <c r="D199" s="294" t="s">
        <v>501</v>
      </c>
      <c r="E199" s="304">
        <v>1380</v>
      </c>
      <c r="F199" s="302">
        <v>1380</v>
      </c>
      <c r="G199" s="302">
        <v>1380</v>
      </c>
      <c r="H199" s="302">
        <v>1380</v>
      </c>
      <c r="I199" s="302">
        <v>1104</v>
      </c>
      <c r="J199" s="302">
        <v>1104</v>
      </c>
      <c r="K199" s="302">
        <v>1080</v>
      </c>
      <c r="L199" s="302">
        <v>780</v>
      </c>
      <c r="M199" s="302">
        <v>780</v>
      </c>
      <c r="N199" s="302">
        <v>600</v>
      </c>
      <c r="O199" s="302">
        <v>600</v>
      </c>
      <c r="P199" s="302"/>
      <c r="Q199" s="302"/>
      <c r="R199" s="302"/>
      <c r="S199" s="302"/>
      <c r="T199" s="302"/>
      <c r="U199" s="302"/>
      <c r="V199" s="302"/>
      <c r="W199" s="302"/>
      <c r="X199" s="302"/>
      <c r="Y199" s="302"/>
      <c r="Z199" s="302"/>
      <c r="AA199" s="302"/>
      <c r="AB199" s="302"/>
      <c r="AC199" s="304">
        <v>9450</v>
      </c>
      <c r="AD199" s="300">
        <v>8730</v>
      </c>
      <c r="AE199" s="300">
        <v>8010</v>
      </c>
      <c r="AF199" s="294">
        <v>7080</v>
      </c>
      <c r="AG199" s="294">
        <v>5860</v>
      </c>
      <c r="AH199" s="294">
        <v>5590</v>
      </c>
      <c r="AI199" s="294">
        <v>5440</v>
      </c>
      <c r="AJ199" s="294">
        <v>5400</v>
      </c>
      <c r="AK199" s="294">
        <v>6510</v>
      </c>
      <c r="AL199" s="294">
        <v>5850</v>
      </c>
      <c r="AM199" s="294">
        <v>5130</v>
      </c>
      <c r="AZ199" s="312"/>
    </row>
    <row r="200" spans="1:52" x14ac:dyDescent="0.2">
      <c r="A200" s="294" t="s">
        <v>263</v>
      </c>
      <c r="C200" s="294" t="s">
        <v>401</v>
      </c>
      <c r="D200" s="294" t="s">
        <v>500</v>
      </c>
      <c r="E200" s="304">
        <v>1380</v>
      </c>
      <c r="F200" s="302">
        <v>1380</v>
      </c>
      <c r="G200" s="302">
        <v>1380</v>
      </c>
      <c r="H200" s="302">
        <v>1380</v>
      </c>
      <c r="I200" s="302">
        <v>1104</v>
      </c>
      <c r="J200" s="302">
        <v>1104</v>
      </c>
      <c r="K200" s="302">
        <v>1080</v>
      </c>
      <c r="L200" s="302">
        <v>780</v>
      </c>
      <c r="M200" s="302">
        <v>780</v>
      </c>
      <c r="N200" s="302">
        <v>600</v>
      </c>
      <c r="O200" s="302">
        <v>600</v>
      </c>
      <c r="P200" s="302"/>
      <c r="Q200" s="302"/>
      <c r="R200" s="302"/>
      <c r="S200" s="302"/>
      <c r="T200" s="302"/>
      <c r="U200" s="302"/>
      <c r="V200" s="302"/>
      <c r="W200" s="302"/>
      <c r="X200" s="302"/>
      <c r="Y200" s="302"/>
      <c r="Z200" s="302"/>
      <c r="AA200" s="302"/>
      <c r="AB200" s="302"/>
      <c r="AC200" s="304">
        <v>9630</v>
      </c>
      <c r="AD200" s="300">
        <v>9270</v>
      </c>
      <c r="AE200" s="300">
        <v>9150</v>
      </c>
      <c r="AF200" s="294">
        <v>7830</v>
      </c>
      <c r="AG200" s="294">
        <v>6302</v>
      </c>
      <c r="AH200" s="294">
        <v>6179</v>
      </c>
      <c r="AI200" s="294">
        <v>6099</v>
      </c>
      <c r="AJ200" s="294">
        <v>6270</v>
      </c>
      <c r="AK200" s="294">
        <v>6510</v>
      </c>
      <c r="AL200" s="294">
        <v>6630</v>
      </c>
      <c r="AM200" s="294">
        <v>5790</v>
      </c>
      <c r="AZ200" s="312"/>
    </row>
    <row r="201" spans="1:52" x14ac:dyDescent="0.2">
      <c r="A201" s="294" t="s">
        <v>263</v>
      </c>
      <c r="C201" s="294" t="s">
        <v>401</v>
      </c>
      <c r="D201" s="294" t="s">
        <v>499</v>
      </c>
      <c r="E201" s="304">
        <v>1380</v>
      </c>
      <c r="F201" s="302">
        <v>1380</v>
      </c>
      <c r="G201" s="302">
        <v>1380</v>
      </c>
      <c r="H201" s="302">
        <v>1380</v>
      </c>
      <c r="I201" s="302">
        <v>1104</v>
      </c>
      <c r="J201" s="302">
        <v>1104</v>
      </c>
      <c r="K201" s="302">
        <v>1080</v>
      </c>
      <c r="L201" s="302">
        <v>780</v>
      </c>
      <c r="M201" s="302">
        <v>780</v>
      </c>
      <c r="N201" s="302">
        <v>600</v>
      </c>
      <c r="O201" s="302">
        <v>600</v>
      </c>
      <c r="P201" s="302"/>
      <c r="Q201" s="302"/>
      <c r="R201" s="302"/>
      <c r="S201" s="302"/>
      <c r="T201" s="302"/>
      <c r="U201" s="302"/>
      <c r="V201" s="302"/>
      <c r="W201" s="302"/>
      <c r="X201" s="302"/>
      <c r="Y201" s="302"/>
      <c r="Z201" s="302"/>
      <c r="AA201" s="302"/>
      <c r="AB201" s="302"/>
      <c r="AC201" s="304">
        <v>7800</v>
      </c>
      <c r="AD201" s="300">
        <v>8400</v>
      </c>
      <c r="AE201" s="300">
        <v>8340</v>
      </c>
      <c r="AF201" s="294">
        <v>6990</v>
      </c>
      <c r="AG201" s="294">
        <v>6639</v>
      </c>
      <c r="AH201" s="294">
        <v>6509</v>
      </c>
      <c r="AI201" s="294">
        <v>6000</v>
      </c>
      <c r="AJ201" s="294">
        <v>6300</v>
      </c>
      <c r="AK201" s="294">
        <v>6480</v>
      </c>
      <c r="AL201" s="294">
        <v>7110</v>
      </c>
      <c r="AM201" s="294">
        <v>6300</v>
      </c>
      <c r="AZ201" s="312"/>
    </row>
    <row r="202" spans="1:52" x14ac:dyDescent="0.2">
      <c r="A202" s="294" t="s">
        <v>263</v>
      </c>
      <c r="C202" s="294" t="s">
        <v>401</v>
      </c>
      <c r="D202" s="294" t="s">
        <v>498</v>
      </c>
      <c r="E202" s="304">
        <v>1380</v>
      </c>
      <c r="F202" s="302">
        <v>1380</v>
      </c>
      <c r="G202" s="302">
        <v>1380</v>
      </c>
      <c r="H202" s="302">
        <v>1380</v>
      </c>
      <c r="I202" s="302">
        <v>1104</v>
      </c>
      <c r="J202" s="302">
        <v>1104</v>
      </c>
      <c r="K202" s="302">
        <v>1080</v>
      </c>
      <c r="L202" s="302">
        <v>780</v>
      </c>
      <c r="M202" s="302">
        <v>780</v>
      </c>
      <c r="N202" s="302">
        <v>600</v>
      </c>
      <c r="O202" s="302">
        <v>600</v>
      </c>
      <c r="P202" s="302"/>
      <c r="Q202" s="302"/>
      <c r="R202" s="302"/>
      <c r="S202" s="302"/>
      <c r="T202" s="302"/>
      <c r="U202" s="302"/>
      <c r="V202" s="302"/>
      <c r="W202" s="302"/>
      <c r="X202" s="302"/>
      <c r="Y202" s="302"/>
      <c r="Z202" s="302"/>
      <c r="AA202" s="302"/>
      <c r="AB202" s="302"/>
      <c r="AC202" s="304">
        <v>9630</v>
      </c>
      <c r="AD202" s="300">
        <v>8730</v>
      </c>
      <c r="AE202" s="300">
        <v>8670</v>
      </c>
      <c r="AF202" s="294">
        <v>8910</v>
      </c>
      <c r="AG202" s="294">
        <v>7326</v>
      </c>
      <c r="AH202" s="294">
        <v>7183</v>
      </c>
      <c r="AI202" s="294">
        <v>6882</v>
      </c>
      <c r="AJ202" s="294">
        <v>6630</v>
      </c>
      <c r="AK202" s="294">
        <v>6810</v>
      </c>
      <c r="AL202" s="294">
        <v>6600</v>
      </c>
      <c r="AM202" s="294">
        <v>5700</v>
      </c>
      <c r="AZ202" s="312"/>
    </row>
    <row r="203" spans="1:52" x14ac:dyDescent="0.2">
      <c r="A203" s="294" t="s">
        <v>263</v>
      </c>
      <c r="C203" s="294" t="s">
        <v>401</v>
      </c>
      <c r="D203" s="294" t="s">
        <v>497</v>
      </c>
      <c r="E203" s="304">
        <v>1380</v>
      </c>
      <c r="F203" s="302">
        <v>1380</v>
      </c>
      <c r="G203" s="302">
        <v>1380</v>
      </c>
      <c r="H203" s="302">
        <v>1380</v>
      </c>
      <c r="I203" s="302">
        <v>1104</v>
      </c>
      <c r="J203" s="302">
        <v>1104</v>
      </c>
      <c r="K203" s="302">
        <v>1080</v>
      </c>
      <c r="L203" s="302">
        <v>780</v>
      </c>
      <c r="M203" s="302">
        <v>780</v>
      </c>
      <c r="N203" s="302">
        <v>600</v>
      </c>
      <c r="O203" s="302">
        <v>600</v>
      </c>
      <c r="P203" s="302"/>
      <c r="Q203" s="302"/>
      <c r="R203" s="302"/>
      <c r="S203" s="302"/>
      <c r="T203" s="302"/>
      <c r="U203" s="302"/>
      <c r="V203" s="302"/>
      <c r="W203" s="302"/>
      <c r="X203" s="302"/>
      <c r="Y203" s="302"/>
      <c r="Z203" s="302"/>
      <c r="AA203" s="302"/>
      <c r="AB203" s="302"/>
      <c r="AC203" s="304">
        <v>9420</v>
      </c>
      <c r="AD203" s="300">
        <v>8730</v>
      </c>
      <c r="AE203" s="300">
        <v>8070</v>
      </c>
      <c r="AF203" s="294">
        <v>7110</v>
      </c>
      <c r="AG203" s="294">
        <v>6570</v>
      </c>
      <c r="AH203" s="294">
        <v>6180</v>
      </c>
      <c r="AI203" s="294">
        <v>6300</v>
      </c>
      <c r="AJ203" s="294">
        <v>6270</v>
      </c>
      <c r="AK203" s="294">
        <v>6480</v>
      </c>
      <c r="AL203" s="294">
        <v>6630</v>
      </c>
      <c r="AM203" s="294">
        <v>5790</v>
      </c>
      <c r="AZ203" s="312"/>
    </row>
    <row r="204" spans="1:52" x14ac:dyDescent="0.2">
      <c r="A204" s="294" t="s">
        <v>263</v>
      </c>
      <c r="C204" s="294" t="s">
        <v>401</v>
      </c>
      <c r="D204" s="294" t="s">
        <v>496</v>
      </c>
      <c r="E204" s="304">
        <v>1380</v>
      </c>
      <c r="F204" s="302">
        <v>1380</v>
      </c>
      <c r="G204" s="302">
        <v>1380</v>
      </c>
      <c r="H204" s="302">
        <v>1380</v>
      </c>
      <c r="I204" s="302">
        <v>1104</v>
      </c>
      <c r="J204" s="302">
        <v>1104</v>
      </c>
      <c r="K204" s="302">
        <v>1080</v>
      </c>
      <c r="L204" s="302">
        <v>780</v>
      </c>
      <c r="M204" s="302">
        <v>780</v>
      </c>
      <c r="N204" s="302">
        <v>600</v>
      </c>
      <c r="O204" s="302">
        <v>600</v>
      </c>
      <c r="P204" s="302"/>
      <c r="Q204" s="302"/>
      <c r="R204" s="302"/>
      <c r="S204" s="302"/>
      <c r="T204" s="302"/>
      <c r="U204" s="302"/>
      <c r="V204" s="302"/>
      <c r="W204" s="302"/>
      <c r="X204" s="302"/>
      <c r="Y204" s="302"/>
      <c r="Z204" s="302"/>
      <c r="AA204" s="302"/>
      <c r="AB204" s="302"/>
      <c r="AC204" s="304">
        <v>9450</v>
      </c>
      <c r="AD204" s="300">
        <v>8730</v>
      </c>
      <c r="AE204" s="300">
        <v>8610</v>
      </c>
      <c r="AF204" s="294">
        <v>7500</v>
      </c>
      <c r="AG204" s="294">
        <v>6518</v>
      </c>
      <c r="AH204" s="294">
        <v>6188</v>
      </c>
      <c r="AI204" s="294">
        <v>6133</v>
      </c>
      <c r="AJ204" s="294">
        <v>6270</v>
      </c>
      <c r="AK204" s="294">
        <v>6480</v>
      </c>
      <c r="AL204" s="294">
        <v>6630</v>
      </c>
      <c r="AM204" s="294">
        <v>5880</v>
      </c>
      <c r="AZ204" s="312"/>
    </row>
    <row r="205" spans="1:52" x14ac:dyDescent="0.2">
      <c r="A205" s="294" t="s">
        <v>263</v>
      </c>
      <c r="C205" s="294" t="s">
        <v>401</v>
      </c>
      <c r="D205" s="294" t="s">
        <v>495</v>
      </c>
      <c r="E205" s="304">
        <v>1380</v>
      </c>
      <c r="F205" s="302">
        <v>1380</v>
      </c>
      <c r="G205" s="302">
        <v>1380</v>
      </c>
      <c r="H205" s="302">
        <v>1380</v>
      </c>
      <c r="I205" s="302">
        <v>1104</v>
      </c>
      <c r="J205" s="302">
        <v>1104</v>
      </c>
      <c r="K205" s="302">
        <v>1080</v>
      </c>
      <c r="L205" s="302">
        <v>780</v>
      </c>
      <c r="M205" s="302">
        <v>780</v>
      </c>
      <c r="N205" s="302">
        <v>600</v>
      </c>
      <c r="O205" s="302">
        <v>600</v>
      </c>
      <c r="P205" s="302"/>
      <c r="Q205" s="302"/>
      <c r="R205" s="302"/>
      <c r="S205" s="302"/>
      <c r="T205" s="302"/>
      <c r="U205" s="302"/>
      <c r="V205" s="302"/>
      <c r="W205" s="302"/>
      <c r="X205" s="302"/>
      <c r="Y205" s="302"/>
      <c r="Z205" s="302"/>
      <c r="AA205" s="302"/>
      <c r="AB205" s="302"/>
      <c r="AC205" s="304" t="s">
        <v>494</v>
      </c>
      <c r="AD205" s="300">
        <v>8610</v>
      </c>
      <c r="AE205" s="300">
        <v>8040</v>
      </c>
      <c r="AF205" s="294">
        <v>7440</v>
      </c>
      <c r="AG205" s="294">
        <v>6518</v>
      </c>
      <c r="AH205" s="294">
        <v>6390</v>
      </c>
      <c r="AI205" s="294">
        <v>6390</v>
      </c>
      <c r="AJ205" s="294">
        <v>6270</v>
      </c>
      <c r="AK205" s="294">
        <v>6450</v>
      </c>
      <c r="AL205" s="294">
        <v>6630</v>
      </c>
      <c r="AM205" s="294">
        <v>5700</v>
      </c>
      <c r="AZ205" s="312"/>
    </row>
    <row r="206" spans="1:52" x14ac:dyDescent="0.2">
      <c r="A206" s="294" t="s">
        <v>263</v>
      </c>
      <c r="C206" s="294" t="s">
        <v>401</v>
      </c>
      <c r="D206" s="294" t="s">
        <v>493</v>
      </c>
      <c r="E206" s="304">
        <v>1380</v>
      </c>
      <c r="F206" s="302">
        <v>1380</v>
      </c>
      <c r="G206" s="302">
        <v>1380</v>
      </c>
      <c r="H206" s="302">
        <v>1380</v>
      </c>
      <c r="I206" s="302">
        <v>1104</v>
      </c>
      <c r="J206" s="302">
        <v>1104</v>
      </c>
      <c r="K206" s="302">
        <v>1080</v>
      </c>
      <c r="L206" s="302">
        <v>780</v>
      </c>
      <c r="M206" s="302">
        <v>780</v>
      </c>
      <c r="N206" s="302">
        <v>600</v>
      </c>
      <c r="O206" s="302">
        <v>600</v>
      </c>
      <c r="P206" s="302"/>
      <c r="Q206" s="302"/>
      <c r="R206" s="302"/>
      <c r="S206" s="302"/>
      <c r="T206" s="302"/>
      <c r="U206" s="302"/>
      <c r="V206" s="302"/>
      <c r="W206" s="302"/>
      <c r="X206" s="302"/>
      <c r="Y206" s="302"/>
      <c r="Z206" s="302"/>
      <c r="AA206" s="302"/>
      <c r="AB206" s="302"/>
      <c r="AC206" s="304">
        <v>9480</v>
      </c>
      <c r="AD206" s="300">
        <v>9510</v>
      </c>
      <c r="AE206" s="300">
        <v>9060</v>
      </c>
      <c r="AF206" s="294">
        <v>7710</v>
      </c>
      <c r="AG206" s="294">
        <v>6515</v>
      </c>
      <c r="AH206" s="294">
        <v>6185</v>
      </c>
      <c r="AI206" s="294">
        <v>6167</v>
      </c>
      <c r="AJ206" s="294">
        <v>6270</v>
      </c>
      <c r="AK206" s="294">
        <v>6480</v>
      </c>
      <c r="AL206" s="294">
        <v>6630</v>
      </c>
      <c r="AM206" s="294">
        <v>5790</v>
      </c>
      <c r="AZ206" s="312"/>
    </row>
    <row r="207" spans="1:52" x14ac:dyDescent="0.2">
      <c r="A207" s="294" t="s">
        <v>263</v>
      </c>
      <c r="C207" s="294" t="s">
        <v>401</v>
      </c>
      <c r="D207" s="294" t="s">
        <v>492</v>
      </c>
      <c r="E207" s="304">
        <v>1380</v>
      </c>
      <c r="F207" s="302">
        <v>1380</v>
      </c>
      <c r="G207" s="302">
        <v>1380</v>
      </c>
      <c r="H207" s="302">
        <v>1380</v>
      </c>
      <c r="I207" s="302">
        <v>1104</v>
      </c>
      <c r="J207" s="302">
        <v>1104</v>
      </c>
      <c r="K207" s="302">
        <v>1080</v>
      </c>
      <c r="L207" s="302">
        <v>780</v>
      </c>
      <c r="M207" s="302">
        <v>780</v>
      </c>
      <c r="N207" s="302">
        <v>600</v>
      </c>
      <c r="O207" s="302">
        <v>600</v>
      </c>
      <c r="P207" s="302"/>
      <c r="Q207" s="302"/>
      <c r="R207" s="302"/>
      <c r="S207" s="302"/>
      <c r="T207" s="302"/>
      <c r="U207" s="302"/>
      <c r="V207" s="302"/>
      <c r="W207" s="302"/>
      <c r="X207" s="302"/>
      <c r="Y207" s="302"/>
      <c r="Z207" s="302"/>
      <c r="AA207" s="302"/>
      <c r="AB207" s="302"/>
      <c r="AC207" s="304">
        <v>9120</v>
      </c>
      <c r="AD207" s="300">
        <v>8400</v>
      </c>
      <c r="AE207" s="300">
        <v>8250</v>
      </c>
      <c r="AF207" s="294">
        <v>7290</v>
      </c>
      <c r="AG207" s="294">
        <v>7440</v>
      </c>
      <c r="AH207" s="294">
        <v>6900</v>
      </c>
      <c r="AI207" s="294">
        <v>6900</v>
      </c>
      <c r="AJ207" s="294">
        <v>7020</v>
      </c>
      <c r="AK207" s="294">
        <v>6480</v>
      </c>
      <c r="AL207" s="294">
        <v>6630</v>
      </c>
      <c r="AM207" s="294">
        <v>5790</v>
      </c>
      <c r="AZ207" s="312"/>
    </row>
    <row r="208" spans="1:52" x14ac:dyDescent="0.2">
      <c r="A208" s="294" t="s">
        <v>263</v>
      </c>
      <c r="C208" s="294" t="s">
        <v>401</v>
      </c>
      <c r="D208" s="294" t="s">
        <v>491</v>
      </c>
      <c r="E208" s="304">
        <v>1380</v>
      </c>
      <c r="F208" s="302">
        <v>1380</v>
      </c>
      <c r="G208" s="302">
        <v>1380</v>
      </c>
      <c r="H208" s="302">
        <v>1380</v>
      </c>
      <c r="I208" s="302">
        <v>1104</v>
      </c>
      <c r="J208" s="302">
        <v>1104</v>
      </c>
      <c r="K208" s="302">
        <v>1080</v>
      </c>
      <c r="L208" s="302">
        <v>780</v>
      </c>
      <c r="M208" s="302">
        <v>780</v>
      </c>
      <c r="N208" s="302">
        <v>600</v>
      </c>
      <c r="O208" s="302">
        <v>600</v>
      </c>
      <c r="P208" s="302"/>
      <c r="Q208" s="302"/>
      <c r="R208" s="302"/>
      <c r="S208" s="302"/>
      <c r="T208" s="302"/>
      <c r="U208" s="302"/>
      <c r="V208" s="302"/>
      <c r="W208" s="302"/>
      <c r="X208" s="302"/>
      <c r="Y208" s="302"/>
      <c r="Z208" s="302"/>
      <c r="AA208" s="302"/>
      <c r="AB208" s="302"/>
      <c r="AC208" s="304">
        <v>9480</v>
      </c>
      <c r="AD208" s="300">
        <v>9660</v>
      </c>
      <c r="AE208" s="300">
        <v>9300</v>
      </c>
      <c r="AF208" s="294">
        <v>8040</v>
      </c>
      <c r="AG208" s="294">
        <v>6332</v>
      </c>
      <c r="AH208" s="294">
        <v>6182</v>
      </c>
      <c r="AI208" s="294">
        <v>6095</v>
      </c>
      <c r="AJ208" s="294">
        <v>6270</v>
      </c>
      <c r="AK208" s="294">
        <v>6480</v>
      </c>
      <c r="AL208" s="294">
        <v>6630</v>
      </c>
      <c r="AM208" s="294">
        <v>5790</v>
      </c>
      <c r="AZ208" s="312"/>
    </row>
    <row r="209" spans="1:52" x14ac:dyDescent="0.2">
      <c r="A209" s="294" t="s">
        <v>263</v>
      </c>
      <c r="C209" s="294" t="s">
        <v>401</v>
      </c>
      <c r="D209" s="294" t="s">
        <v>490</v>
      </c>
      <c r="E209" s="304">
        <v>1380</v>
      </c>
      <c r="F209" s="302">
        <v>1380</v>
      </c>
      <c r="G209" s="302">
        <v>1380</v>
      </c>
      <c r="H209" s="302">
        <v>1380</v>
      </c>
      <c r="I209" s="302">
        <v>1104</v>
      </c>
      <c r="J209" s="302">
        <v>1104</v>
      </c>
      <c r="K209" s="302">
        <v>1080</v>
      </c>
      <c r="L209" s="302">
        <v>780</v>
      </c>
      <c r="M209" s="302">
        <v>780</v>
      </c>
      <c r="N209" s="302">
        <v>600</v>
      </c>
      <c r="O209" s="302">
        <v>600</v>
      </c>
      <c r="P209" s="302"/>
      <c r="Q209" s="302"/>
      <c r="R209" s="302"/>
      <c r="S209" s="302"/>
      <c r="T209" s="302"/>
      <c r="U209" s="302"/>
      <c r="V209" s="302"/>
      <c r="W209" s="302"/>
      <c r="X209" s="302"/>
      <c r="Y209" s="302"/>
      <c r="Z209" s="302"/>
      <c r="AA209" s="302"/>
      <c r="AB209" s="302"/>
      <c r="AC209" s="304">
        <v>9150</v>
      </c>
      <c r="AD209" s="300">
        <v>9000</v>
      </c>
      <c r="AE209" s="300">
        <v>8490</v>
      </c>
      <c r="AF209" s="294">
        <v>7320</v>
      </c>
      <c r="AG209" s="294">
        <v>6727</v>
      </c>
      <c r="AH209" s="294">
        <v>6636</v>
      </c>
      <c r="AI209" s="294">
        <v>3485</v>
      </c>
      <c r="AJ209" s="294">
        <v>6330</v>
      </c>
      <c r="AK209" s="294">
        <v>6300</v>
      </c>
      <c r="AL209" s="294">
        <v>6630</v>
      </c>
      <c r="AM209" s="294">
        <v>5700</v>
      </c>
      <c r="AZ209" s="312"/>
    </row>
    <row r="210" spans="1:52" x14ac:dyDescent="0.2">
      <c r="A210" s="294" t="s">
        <v>263</v>
      </c>
      <c r="C210" s="294" t="s">
        <v>401</v>
      </c>
      <c r="D210" s="294" t="s">
        <v>489</v>
      </c>
      <c r="E210" s="304">
        <v>1380</v>
      </c>
      <c r="F210" s="302">
        <v>1380</v>
      </c>
      <c r="G210" s="302">
        <v>1380</v>
      </c>
      <c r="H210" s="302">
        <v>1380</v>
      </c>
      <c r="I210" s="302">
        <v>1104</v>
      </c>
      <c r="J210" s="302">
        <v>1104</v>
      </c>
      <c r="K210" s="302">
        <v>1080</v>
      </c>
      <c r="L210" s="302">
        <v>780</v>
      </c>
      <c r="M210" s="302">
        <v>780</v>
      </c>
      <c r="N210" s="302">
        <v>600</v>
      </c>
      <c r="O210" s="302">
        <v>600</v>
      </c>
      <c r="P210" s="302"/>
      <c r="Q210" s="302"/>
      <c r="R210" s="302"/>
      <c r="S210" s="302"/>
      <c r="T210" s="302"/>
      <c r="U210" s="302"/>
      <c r="V210" s="302"/>
      <c r="W210" s="302"/>
      <c r="X210" s="302"/>
      <c r="Y210" s="302"/>
      <c r="Z210" s="302"/>
      <c r="AA210" s="302"/>
      <c r="AB210" s="302"/>
      <c r="AC210" s="304">
        <v>9120</v>
      </c>
      <c r="AD210" s="300">
        <v>11130</v>
      </c>
      <c r="AE210" s="300">
        <v>10830</v>
      </c>
      <c r="AF210" s="294">
        <v>9120</v>
      </c>
      <c r="AG210" s="294">
        <v>6610</v>
      </c>
      <c r="AH210" s="294">
        <v>6480</v>
      </c>
      <c r="AI210" s="294">
        <v>6060</v>
      </c>
      <c r="AJ210" s="294">
        <v>6270</v>
      </c>
      <c r="AK210" s="294">
        <v>6480</v>
      </c>
      <c r="AL210" s="294">
        <v>6630</v>
      </c>
      <c r="AM210" s="294">
        <v>5790</v>
      </c>
      <c r="AZ210" s="312"/>
    </row>
    <row r="211" spans="1:52" x14ac:dyDescent="0.2">
      <c r="A211" s="294" t="s">
        <v>263</v>
      </c>
      <c r="C211" s="294" t="s">
        <v>401</v>
      </c>
      <c r="D211" s="294" t="s">
        <v>488</v>
      </c>
      <c r="E211" s="304">
        <v>1380</v>
      </c>
      <c r="F211" s="302">
        <v>1380</v>
      </c>
      <c r="G211" s="302">
        <v>1380</v>
      </c>
      <c r="H211" s="302">
        <v>1380</v>
      </c>
      <c r="I211" s="302">
        <v>1104</v>
      </c>
      <c r="J211" s="302">
        <v>1104</v>
      </c>
      <c r="K211" s="302">
        <v>1080</v>
      </c>
      <c r="L211" s="302">
        <v>780</v>
      </c>
      <c r="M211" s="302">
        <v>780</v>
      </c>
      <c r="N211" s="302">
        <v>600</v>
      </c>
      <c r="O211" s="302">
        <v>600</v>
      </c>
      <c r="P211" s="302"/>
      <c r="Q211" s="302"/>
      <c r="R211" s="302"/>
      <c r="S211" s="302"/>
      <c r="T211" s="302"/>
      <c r="U211" s="302"/>
      <c r="V211" s="302"/>
      <c r="W211" s="302"/>
      <c r="X211" s="302"/>
      <c r="Y211" s="302"/>
      <c r="Z211" s="302"/>
      <c r="AA211" s="302"/>
      <c r="AB211" s="302"/>
      <c r="AC211" s="304">
        <v>9510</v>
      </c>
      <c r="AD211" s="300">
        <v>8880</v>
      </c>
      <c r="AE211" s="300">
        <v>8250</v>
      </c>
      <c r="AF211" s="294">
        <v>7320</v>
      </c>
      <c r="AG211" s="294">
        <v>6498</v>
      </c>
      <c r="AH211" s="294">
        <v>6498</v>
      </c>
      <c r="AI211" s="294">
        <v>6498</v>
      </c>
      <c r="AJ211" s="294">
        <v>6480</v>
      </c>
      <c r="AK211" s="294">
        <v>6480</v>
      </c>
      <c r="AL211" s="294">
        <v>6630</v>
      </c>
      <c r="AM211" s="294">
        <v>5790</v>
      </c>
      <c r="AZ211" s="312"/>
    </row>
    <row r="212" spans="1:52" x14ac:dyDescent="0.2">
      <c r="A212" s="294" t="s">
        <v>263</v>
      </c>
      <c r="C212" s="294" t="s">
        <v>401</v>
      </c>
      <c r="D212" s="294" t="s">
        <v>487</v>
      </c>
      <c r="E212" s="304">
        <v>1380</v>
      </c>
      <c r="F212" s="302">
        <v>1380</v>
      </c>
      <c r="G212" s="302">
        <v>1380</v>
      </c>
      <c r="H212" s="302">
        <v>1380</v>
      </c>
      <c r="I212" s="302">
        <v>1104</v>
      </c>
      <c r="J212" s="302">
        <v>1104</v>
      </c>
      <c r="K212" s="302">
        <v>1080</v>
      </c>
      <c r="L212" s="302">
        <v>780</v>
      </c>
      <c r="M212" s="302">
        <v>780</v>
      </c>
      <c r="N212" s="302">
        <v>600</v>
      </c>
      <c r="O212" s="302">
        <v>600</v>
      </c>
      <c r="P212" s="302"/>
      <c r="Q212" s="302"/>
      <c r="R212" s="302"/>
      <c r="S212" s="302"/>
      <c r="T212" s="302"/>
      <c r="U212" s="302"/>
      <c r="V212" s="302"/>
      <c r="W212" s="302"/>
      <c r="X212" s="302"/>
      <c r="Y212" s="302"/>
      <c r="Z212" s="302"/>
      <c r="AA212" s="302"/>
      <c r="AB212" s="302"/>
      <c r="AC212" s="304">
        <v>10080</v>
      </c>
      <c r="AD212" s="300">
        <v>9360</v>
      </c>
      <c r="AE212" s="300">
        <v>8670</v>
      </c>
      <c r="AF212" s="294">
        <v>6990</v>
      </c>
      <c r="AG212" s="294">
        <v>5794</v>
      </c>
      <c r="AH212" s="294">
        <v>5681</v>
      </c>
      <c r="AI212" s="294">
        <v>6148</v>
      </c>
      <c r="AJ212" s="294">
        <v>6270</v>
      </c>
      <c r="AK212" s="294">
        <v>6600</v>
      </c>
      <c r="AL212" s="294">
        <v>6780</v>
      </c>
      <c r="AM212" s="294">
        <v>5850</v>
      </c>
      <c r="AZ212" s="312"/>
    </row>
    <row r="213" spans="1:52" x14ac:dyDescent="0.2">
      <c r="A213" s="294" t="s">
        <v>263</v>
      </c>
      <c r="C213" s="294" t="s">
        <v>401</v>
      </c>
      <c r="D213" s="294" t="s">
        <v>486</v>
      </c>
      <c r="E213" s="304">
        <v>1380</v>
      </c>
      <c r="F213" s="302">
        <v>1380</v>
      </c>
      <c r="G213" s="302">
        <v>1380</v>
      </c>
      <c r="H213" s="302">
        <v>1380</v>
      </c>
      <c r="I213" s="302">
        <v>1104</v>
      </c>
      <c r="J213" s="302">
        <v>1104</v>
      </c>
      <c r="K213" s="302">
        <v>1080</v>
      </c>
      <c r="L213" s="302">
        <v>780</v>
      </c>
      <c r="M213" s="302">
        <v>780</v>
      </c>
      <c r="N213" s="302">
        <v>600</v>
      </c>
      <c r="O213" s="302">
        <v>600</v>
      </c>
      <c r="P213" s="302"/>
      <c r="Q213" s="302"/>
      <c r="R213" s="302"/>
      <c r="S213" s="302"/>
      <c r="T213" s="302"/>
      <c r="U213" s="302"/>
      <c r="V213" s="302"/>
      <c r="W213" s="302"/>
      <c r="X213" s="302"/>
      <c r="Y213" s="302"/>
      <c r="Z213" s="302"/>
      <c r="AA213" s="302"/>
      <c r="AB213" s="302"/>
      <c r="AC213" s="304">
        <v>9270</v>
      </c>
      <c r="AD213" s="300">
        <v>8400</v>
      </c>
      <c r="AE213" s="300">
        <v>7710</v>
      </c>
      <c r="AF213" s="294">
        <v>6780</v>
      </c>
      <c r="AG213" s="294">
        <v>6779</v>
      </c>
      <c r="AH213" s="294">
        <v>6402</v>
      </c>
      <c r="AI213" s="294">
        <v>6305</v>
      </c>
      <c r="AJ213" s="294">
        <v>6240</v>
      </c>
      <c r="AK213" s="294">
        <v>6450</v>
      </c>
      <c r="AL213" s="294">
        <v>6630</v>
      </c>
      <c r="AM213" s="294">
        <v>5790</v>
      </c>
      <c r="AZ213" s="312"/>
    </row>
    <row r="214" spans="1:52" x14ac:dyDescent="0.2">
      <c r="A214" s="294" t="s">
        <v>263</v>
      </c>
      <c r="C214" s="294" t="s">
        <v>401</v>
      </c>
      <c r="D214" s="294" t="s">
        <v>485</v>
      </c>
      <c r="E214" s="304">
        <v>1380</v>
      </c>
      <c r="F214" s="302">
        <v>1380</v>
      </c>
      <c r="G214" s="302">
        <v>1380</v>
      </c>
      <c r="H214" s="302">
        <v>1380</v>
      </c>
      <c r="I214" s="302">
        <v>1104</v>
      </c>
      <c r="J214" s="302">
        <v>1104</v>
      </c>
      <c r="K214" s="302">
        <v>1080</v>
      </c>
      <c r="L214" s="302">
        <v>780</v>
      </c>
      <c r="M214" s="302">
        <v>780</v>
      </c>
      <c r="N214" s="302">
        <v>600</v>
      </c>
      <c r="O214" s="302">
        <v>600</v>
      </c>
      <c r="P214" s="302"/>
      <c r="Q214" s="302"/>
      <c r="R214" s="302"/>
      <c r="S214" s="302"/>
      <c r="T214" s="302"/>
      <c r="U214" s="302"/>
      <c r="V214" s="302"/>
      <c r="W214" s="302"/>
      <c r="X214" s="302"/>
      <c r="Y214" s="302"/>
      <c r="Z214" s="302"/>
      <c r="AA214" s="302"/>
      <c r="AB214" s="302"/>
      <c r="AC214" s="304">
        <v>9120</v>
      </c>
      <c r="AD214" s="300">
        <v>8400</v>
      </c>
      <c r="AE214" s="300">
        <v>7800</v>
      </c>
      <c r="AF214" s="294">
        <v>6780</v>
      </c>
      <c r="AG214" s="294">
        <v>6480</v>
      </c>
      <c r="AH214" s="294">
        <v>6480</v>
      </c>
      <c r="AI214" s="294">
        <v>6480</v>
      </c>
      <c r="AJ214" s="294">
        <v>6360</v>
      </c>
      <c r="AK214" s="294">
        <v>6480</v>
      </c>
      <c r="AL214" s="294">
        <v>6630</v>
      </c>
      <c r="AM214" s="294">
        <v>5490</v>
      </c>
      <c r="AZ214" s="312"/>
    </row>
    <row r="215" spans="1:52" x14ac:dyDescent="0.2">
      <c r="A215" s="294" t="s">
        <v>263</v>
      </c>
      <c r="C215" s="294" t="s">
        <v>401</v>
      </c>
      <c r="D215" s="294" t="s">
        <v>484</v>
      </c>
      <c r="E215" s="304">
        <v>1380</v>
      </c>
      <c r="F215" s="302">
        <v>1380</v>
      </c>
      <c r="G215" s="302">
        <v>1380</v>
      </c>
      <c r="H215" s="302">
        <v>1380</v>
      </c>
      <c r="I215" s="302">
        <v>1104</v>
      </c>
      <c r="J215" s="302">
        <v>1104</v>
      </c>
      <c r="K215" s="302">
        <v>1080</v>
      </c>
      <c r="L215" s="302">
        <v>780</v>
      </c>
      <c r="M215" s="302">
        <v>780</v>
      </c>
      <c r="N215" s="302">
        <v>600</v>
      </c>
      <c r="O215" s="302">
        <v>600</v>
      </c>
      <c r="P215" s="302"/>
      <c r="Q215" s="302"/>
      <c r="R215" s="302"/>
      <c r="S215" s="302"/>
      <c r="T215" s="302"/>
      <c r="U215" s="302"/>
      <c r="V215" s="302"/>
      <c r="W215" s="302"/>
      <c r="X215" s="302"/>
      <c r="Y215" s="302"/>
      <c r="Z215" s="302"/>
      <c r="AA215" s="302"/>
      <c r="AB215" s="302"/>
      <c r="AC215" s="304">
        <v>9690</v>
      </c>
      <c r="AD215" s="300">
        <v>8850</v>
      </c>
      <c r="AE215" s="300">
        <v>8070</v>
      </c>
      <c r="AF215" s="294">
        <v>7050</v>
      </c>
      <c r="AG215" s="294">
        <v>6499</v>
      </c>
      <c r="AH215" s="294">
        <v>6173</v>
      </c>
      <c r="AI215" s="294">
        <v>6295</v>
      </c>
      <c r="AJ215" s="294">
        <v>6270</v>
      </c>
      <c r="AK215" s="294">
        <v>6480</v>
      </c>
      <c r="AL215" s="294">
        <v>6270</v>
      </c>
      <c r="AM215" s="294">
        <v>5460</v>
      </c>
      <c r="AZ215" s="312"/>
    </row>
    <row r="216" spans="1:52" x14ac:dyDescent="0.2">
      <c r="A216" s="294" t="s">
        <v>263</v>
      </c>
      <c r="C216" s="294" t="s">
        <v>401</v>
      </c>
      <c r="D216" s="294" t="s">
        <v>483</v>
      </c>
      <c r="E216" s="304">
        <v>1380</v>
      </c>
      <c r="F216" s="302">
        <v>1380</v>
      </c>
      <c r="G216" s="302">
        <v>1380</v>
      </c>
      <c r="H216" s="302">
        <v>1380</v>
      </c>
      <c r="I216" s="302">
        <v>1104</v>
      </c>
      <c r="J216" s="302">
        <v>1104</v>
      </c>
      <c r="K216" s="302">
        <v>1080</v>
      </c>
      <c r="L216" s="302">
        <v>780</v>
      </c>
      <c r="M216" s="302">
        <v>780</v>
      </c>
      <c r="N216" s="302">
        <v>600</v>
      </c>
      <c r="O216" s="302">
        <v>600</v>
      </c>
      <c r="P216" s="302"/>
      <c r="Q216" s="302"/>
      <c r="R216" s="302"/>
      <c r="S216" s="302"/>
      <c r="T216" s="302"/>
      <c r="U216" s="302"/>
      <c r="V216" s="302"/>
      <c r="W216" s="302"/>
      <c r="X216" s="302"/>
      <c r="Y216" s="302"/>
      <c r="Z216" s="302"/>
      <c r="AA216" s="302"/>
      <c r="AB216" s="302"/>
      <c r="AC216" s="304">
        <v>9990</v>
      </c>
      <c r="AD216" s="300">
        <v>8760</v>
      </c>
      <c r="AE216" s="300">
        <v>8400</v>
      </c>
      <c r="AF216" s="294">
        <v>7350</v>
      </c>
      <c r="AG216" s="294">
        <v>6585</v>
      </c>
      <c r="AH216" s="294">
        <v>6315</v>
      </c>
      <c r="AI216" s="294">
        <v>6180</v>
      </c>
      <c r="AJ216" s="294">
        <v>6120</v>
      </c>
      <c r="AK216" s="294">
        <v>6270</v>
      </c>
      <c r="AL216" s="294">
        <v>6345</v>
      </c>
      <c r="AM216" s="294">
        <v>5310</v>
      </c>
      <c r="AZ216" s="312"/>
    </row>
    <row r="217" spans="1:52" x14ac:dyDescent="0.2">
      <c r="A217" s="294" t="s">
        <v>263</v>
      </c>
      <c r="C217" s="294" t="s">
        <v>401</v>
      </c>
      <c r="D217" s="294" t="s">
        <v>482</v>
      </c>
      <c r="E217" s="304">
        <v>1380</v>
      </c>
      <c r="F217" s="302">
        <v>1380</v>
      </c>
      <c r="G217" s="302">
        <v>1380</v>
      </c>
      <c r="H217" s="302">
        <v>1380</v>
      </c>
      <c r="I217" s="302">
        <v>1104</v>
      </c>
      <c r="J217" s="302">
        <v>1104</v>
      </c>
      <c r="K217" s="302">
        <v>1080</v>
      </c>
      <c r="L217" s="302">
        <v>780</v>
      </c>
      <c r="M217" s="302">
        <v>780</v>
      </c>
      <c r="N217" s="302">
        <v>600</v>
      </c>
      <c r="O217" s="302">
        <v>600</v>
      </c>
      <c r="P217" s="302"/>
      <c r="Q217" s="302"/>
      <c r="R217" s="302"/>
      <c r="S217" s="302"/>
      <c r="T217" s="302"/>
      <c r="U217" s="302"/>
      <c r="V217" s="302"/>
      <c r="W217" s="302"/>
      <c r="X217" s="302"/>
      <c r="Y217" s="302"/>
      <c r="Z217" s="302"/>
      <c r="AA217" s="302"/>
      <c r="AB217" s="302"/>
      <c r="AC217" s="304">
        <v>9180</v>
      </c>
      <c r="AD217" s="300">
        <v>8160</v>
      </c>
      <c r="AE217" s="300">
        <v>8190</v>
      </c>
      <c r="AF217" s="294">
        <v>7410</v>
      </c>
      <c r="AG217" s="294">
        <v>6480</v>
      </c>
      <c r="AH217" s="294">
        <v>6360</v>
      </c>
      <c r="AI217" s="294">
        <v>5910</v>
      </c>
      <c r="AJ217" s="294">
        <v>6150</v>
      </c>
      <c r="AK217" s="294">
        <v>5970</v>
      </c>
      <c r="AL217" s="294">
        <v>6300</v>
      </c>
      <c r="AM217" s="294">
        <v>5460</v>
      </c>
      <c r="AZ217" s="312"/>
    </row>
    <row r="218" spans="1:52" x14ac:dyDescent="0.2">
      <c r="A218" s="294" t="s">
        <v>263</v>
      </c>
      <c r="C218" s="294" t="s">
        <v>401</v>
      </c>
      <c r="D218" s="294" t="s">
        <v>481</v>
      </c>
      <c r="E218" s="304">
        <v>1380</v>
      </c>
      <c r="F218" s="302">
        <v>1380</v>
      </c>
      <c r="G218" s="302">
        <v>1380</v>
      </c>
      <c r="H218" s="302">
        <v>1380</v>
      </c>
      <c r="I218" s="302">
        <v>1104</v>
      </c>
      <c r="J218" s="302">
        <v>1104</v>
      </c>
      <c r="K218" s="302">
        <v>1080</v>
      </c>
      <c r="L218" s="302">
        <v>780</v>
      </c>
      <c r="M218" s="302">
        <v>780</v>
      </c>
      <c r="N218" s="302">
        <v>600</v>
      </c>
      <c r="O218" s="302">
        <v>600</v>
      </c>
      <c r="P218" s="302"/>
      <c r="Q218" s="302"/>
      <c r="R218" s="302"/>
      <c r="S218" s="302"/>
      <c r="T218" s="302"/>
      <c r="U218" s="302"/>
      <c r="V218" s="302"/>
      <c r="W218" s="302"/>
      <c r="X218" s="302"/>
      <c r="Y218" s="302"/>
      <c r="Z218" s="302"/>
      <c r="AA218" s="302"/>
      <c r="AB218" s="302"/>
      <c r="AC218" s="304">
        <v>9150</v>
      </c>
      <c r="AD218" s="300">
        <v>9000</v>
      </c>
      <c r="AE218" s="300">
        <v>8490</v>
      </c>
      <c r="AF218" s="294">
        <v>7320</v>
      </c>
      <c r="AG218" s="294">
        <v>6727</v>
      </c>
      <c r="AH218" s="294">
        <v>6636</v>
      </c>
      <c r="AI218" s="294">
        <v>6485</v>
      </c>
      <c r="AJ218" s="294">
        <v>6330</v>
      </c>
      <c r="AK218" s="294">
        <v>6300</v>
      </c>
      <c r="AL218" s="294">
        <v>6630</v>
      </c>
      <c r="AM218" s="294">
        <v>5700</v>
      </c>
      <c r="AZ218" s="312"/>
    </row>
    <row r="219" spans="1:52" s="307" customFormat="1" x14ac:dyDescent="0.2">
      <c r="A219" s="294" t="s">
        <v>263</v>
      </c>
      <c r="B219" s="294"/>
      <c r="C219" s="294" t="s">
        <v>401</v>
      </c>
      <c r="D219" s="294" t="s">
        <v>480</v>
      </c>
      <c r="E219" s="304">
        <v>1380</v>
      </c>
      <c r="F219" s="302">
        <v>1380</v>
      </c>
      <c r="G219" s="302">
        <v>1380</v>
      </c>
      <c r="H219" s="302">
        <v>1380</v>
      </c>
      <c r="I219" s="302">
        <v>1104</v>
      </c>
      <c r="J219" s="302">
        <v>1104</v>
      </c>
      <c r="K219" s="302">
        <v>1080</v>
      </c>
      <c r="L219" s="302">
        <v>780</v>
      </c>
      <c r="M219" s="302">
        <v>780</v>
      </c>
      <c r="N219" s="302">
        <v>600</v>
      </c>
      <c r="O219" s="302">
        <v>600</v>
      </c>
      <c r="P219" s="302"/>
      <c r="Q219" s="302"/>
      <c r="R219" s="302"/>
      <c r="S219" s="302"/>
      <c r="T219" s="302"/>
      <c r="U219" s="302"/>
      <c r="V219" s="302"/>
      <c r="W219" s="302"/>
      <c r="X219" s="302"/>
      <c r="Y219" s="302"/>
      <c r="Z219" s="302"/>
      <c r="AA219" s="302"/>
      <c r="AB219" s="302"/>
      <c r="AC219" s="304">
        <v>8910</v>
      </c>
      <c r="AD219" s="300">
        <v>9240</v>
      </c>
      <c r="AE219" s="300">
        <v>8670</v>
      </c>
      <c r="AF219" s="294">
        <v>7440</v>
      </c>
      <c r="AG219" s="294">
        <v>6502</v>
      </c>
      <c r="AH219" s="294">
        <v>6502</v>
      </c>
      <c r="AI219" s="294">
        <v>6497</v>
      </c>
      <c r="AJ219" s="294">
        <v>6360</v>
      </c>
      <c r="AK219" s="294">
        <v>6480</v>
      </c>
      <c r="AL219" s="294">
        <v>6630</v>
      </c>
      <c r="AM219" s="294">
        <v>5790</v>
      </c>
      <c r="AZ219" s="312"/>
    </row>
    <row r="220" spans="1:52" x14ac:dyDescent="0.2">
      <c r="A220" s="294" t="s">
        <v>263</v>
      </c>
      <c r="C220" s="294" t="s">
        <v>401</v>
      </c>
      <c r="D220" s="294" t="s">
        <v>479</v>
      </c>
      <c r="E220" s="304">
        <v>1380</v>
      </c>
      <c r="F220" s="302">
        <v>1380</v>
      </c>
      <c r="G220" s="302">
        <v>1380</v>
      </c>
      <c r="H220" s="302">
        <v>1380</v>
      </c>
      <c r="I220" s="302">
        <v>1104</v>
      </c>
      <c r="J220" s="302">
        <v>1104</v>
      </c>
      <c r="K220" s="302">
        <v>1080</v>
      </c>
      <c r="L220" s="302">
        <v>780</v>
      </c>
      <c r="M220" s="302">
        <v>780</v>
      </c>
      <c r="N220" s="302">
        <v>600</v>
      </c>
      <c r="O220" s="302">
        <v>600</v>
      </c>
      <c r="P220" s="302"/>
      <c r="Q220" s="302"/>
      <c r="R220" s="302"/>
      <c r="S220" s="302"/>
      <c r="T220" s="302"/>
      <c r="U220" s="302"/>
      <c r="V220" s="302"/>
      <c r="W220" s="302"/>
      <c r="X220" s="302"/>
      <c r="Y220" s="302"/>
      <c r="Z220" s="302"/>
      <c r="AA220" s="302"/>
      <c r="AB220" s="302"/>
      <c r="AC220" s="304">
        <v>9480</v>
      </c>
      <c r="AD220" s="300">
        <v>8820</v>
      </c>
      <c r="AE220" s="300">
        <v>8640</v>
      </c>
      <c r="AF220" s="294">
        <v>8040</v>
      </c>
      <c r="AG220" s="294">
        <v>6305</v>
      </c>
      <c r="AH220" s="294">
        <v>6182</v>
      </c>
      <c r="AI220" s="294">
        <v>6095</v>
      </c>
      <c r="AJ220" s="294">
        <v>6270</v>
      </c>
      <c r="AK220" s="294">
        <v>6480</v>
      </c>
      <c r="AL220" s="294">
        <v>6630</v>
      </c>
      <c r="AM220" s="294">
        <v>5790</v>
      </c>
      <c r="AZ220" s="312"/>
    </row>
    <row r="221" spans="1:52" x14ac:dyDescent="0.2">
      <c r="A221" s="294" t="s">
        <v>263</v>
      </c>
      <c r="C221" s="294" t="s">
        <v>401</v>
      </c>
      <c r="D221" s="294" t="s">
        <v>478</v>
      </c>
      <c r="E221" s="304">
        <v>1380</v>
      </c>
      <c r="F221" s="302">
        <v>1380</v>
      </c>
      <c r="G221" s="302">
        <v>1380</v>
      </c>
      <c r="H221" s="302">
        <v>1380</v>
      </c>
      <c r="I221" s="302">
        <v>1104</v>
      </c>
      <c r="J221" s="302">
        <v>1104</v>
      </c>
      <c r="K221" s="302">
        <v>1080</v>
      </c>
      <c r="L221" s="302">
        <v>780</v>
      </c>
      <c r="M221" s="302">
        <v>780</v>
      </c>
      <c r="N221" s="302">
        <v>600</v>
      </c>
      <c r="O221" s="302">
        <v>600</v>
      </c>
      <c r="P221" s="302"/>
      <c r="Q221" s="302"/>
      <c r="R221" s="302"/>
      <c r="S221" s="302"/>
      <c r="T221" s="302"/>
      <c r="U221" s="302"/>
      <c r="V221" s="302"/>
      <c r="W221" s="302"/>
      <c r="X221" s="302"/>
      <c r="Y221" s="302"/>
      <c r="Z221" s="302"/>
      <c r="AA221" s="302"/>
      <c r="AB221" s="302"/>
      <c r="AC221" s="304">
        <v>8490</v>
      </c>
      <c r="AD221" s="300">
        <v>8520</v>
      </c>
      <c r="AE221" s="300">
        <v>7830</v>
      </c>
      <c r="AF221" s="294">
        <v>6900</v>
      </c>
      <c r="AG221" s="294">
        <v>6754</v>
      </c>
      <c r="AH221" s="294">
        <v>6769</v>
      </c>
      <c r="AI221" s="294">
        <v>6775</v>
      </c>
      <c r="AJ221" s="294">
        <v>6750</v>
      </c>
      <c r="AK221" s="294">
        <v>6510</v>
      </c>
      <c r="AL221" s="294">
        <v>6930</v>
      </c>
      <c r="AM221" s="294">
        <v>6090</v>
      </c>
      <c r="AZ221" s="312"/>
    </row>
    <row r="222" spans="1:52" x14ac:dyDescent="0.2">
      <c r="A222" s="294" t="s">
        <v>263</v>
      </c>
      <c r="C222" s="294" t="s">
        <v>401</v>
      </c>
      <c r="D222" s="294" t="s">
        <v>477</v>
      </c>
      <c r="E222" s="304">
        <v>1380</v>
      </c>
      <c r="F222" s="302">
        <v>1380</v>
      </c>
      <c r="G222" s="302">
        <v>1380</v>
      </c>
      <c r="H222" s="302">
        <v>1380</v>
      </c>
      <c r="I222" s="302">
        <v>1104</v>
      </c>
      <c r="J222" s="302">
        <v>1104</v>
      </c>
      <c r="K222" s="302">
        <v>1080</v>
      </c>
      <c r="L222" s="302">
        <v>780</v>
      </c>
      <c r="M222" s="302">
        <v>780</v>
      </c>
      <c r="N222" s="302">
        <v>600</v>
      </c>
      <c r="O222" s="302">
        <v>600</v>
      </c>
      <c r="P222" s="302"/>
      <c r="Q222" s="302"/>
      <c r="R222" s="302"/>
      <c r="S222" s="302"/>
      <c r="T222" s="302"/>
      <c r="U222" s="302"/>
      <c r="V222" s="302"/>
      <c r="W222" s="302"/>
      <c r="X222" s="302"/>
      <c r="Y222" s="302"/>
      <c r="Z222" s="302"/>
      <c r="AA222" s="302"/>
      <c r="AB222" s="302"/>
      <c r="AC222" s="304">
        <v>8430</v>
      </c>
      <c r="AD222" s="300">
        <v>8430</v>
      </c>
      <c r="AE222" s="300">
        <v>7740</v>
      </c>
      <c r="AF222" s="294">
        <v>6810</v>
      </c>
      <c r="AG222" s="294">
        <v>6180</v>
      </c>
      <c r="AH222" s="294">
        <v>6180</v>
      </c>
      <c r="AI222" s="294">
        <v>6750</v>
      </c>
      <c r="AJ222" s="294">
        <v>7380</v>
      </c>
      <c r="AK222" s="294">
        <v>6480</v>
      </c>
      <c r="AL222" s="294">
        <v>6660</v>
      </c>
      <c r="AM222" s="294">
        <v>6000</v>
      </c>
      <c r="AZ222" s="312"/>
    </row>
    <row r="223" spans="1:52" x14ac:dyDescent="0.2">
      <c r="A223" s="294" t="s">
        <v>263</v>
      </c>
      <c r="C223" s="294" t="s">
        <v>401</v>
      </c>
      <c r="D223" s="294" t="s">
        <v>476</v>
      </c>
      <c r="E223" s="304">
        <v>1380</v>
      </c>
      <c r="F223" s="302">
        <v>1380</v>
      </c>
      <c r="G223" s="302">
        <v>1380</v>
      </c>
      <c r="H223" s="302">
        <v>1380</v>
      </c>
      <c r="I223" s="302">
        <v>1104</v>
      </c>
      <c r="J223" s="302">
        <v>1104</v>
      </c>
      <c r="K223" s="302">
        <v>1080</v>
      </c>
      <c r="L223" s="302">
        <v>780</v>
      </c>
      <c r="M223" s="302">
        <v>780</v>
      </c>
      <c r="N223" s="302">
        <v>600</v>
      </c>
      <c r="O223" s="302">
        <v>600</v>
      </c>
      <c r="P223" s="302"/>
      <c r="Q223" s="302"/>
      <c r="R223" s="302"/>
      <c r="S223" s="302"/>
      <c r="T223" s="302"/>
      <c r="U223" s="302"/>
      <c r="V223" s="302"/>
      <c r="W223" s="302"/>
      <c r="X223" s="302"/>
      <c r="Y223" s="302"/>
      <c r="Z223" s="302"/>
      <c r="AA223" s="302"/>
      <c r="AB223" s="302"/>
      <c r="AC223" s="304">
        <v>9510</v>
      </c>
      <c r="AD223" s="300">
        <v>8880</v>
      </c>
      <c r="AE223" s="300">
        <v>8250</v>
      </c>
      <c r="AF223" s="294">
        <v>7320</v>
      </c>
      <c r="AG223" s="294">
        <v>6498</v>
      </c>
      <c r="AH223" s="294">
        <v>6498</v>
      </c>
      <c r="AI223" s="294">
        <v>6498</v>
      </c>
      <c r="AJ223" s="294">
        <v>6480</v>
      </c>
      <c r="AK223" s="294">
        <v>6480</v>
      </c>
      <c r="AL223" s="294">
        <v>6630</v>
      </c>
      <c r="AM223" s="294">
        <v>5790</v>
      </c>
      <c r="AZ223" s="312"/>
    </row>
    <row r="224" spans="1:52" x14ac:dyDescent="0.2">
      <c r="A224" s="294" t="s">
        <v>263</v>
      </c>
      <c r="C224" s="294" t="s">
        <v>401</v>
      </c>
      <c r="D224" s="294" t="s">
        <v>475</v>
      </c>
      <c r="E224" s="304">
        <v>1380</v>
      </c>
      <c r="F224" s="302">
        <v>1380</v>
      </c>
      <c r="G224" s="302">
        <v>1380</v>
      </c>
      <c r="H224" s="302">
        <v>1380</v>
      </c>
      <c r="I224" s="302">
        <v>1104</v>
      </c>
      <c r="J224" s="302">
        <v>1104</v>
      </c>
      <c r="K224" s="302">
        <v>1080</v>
      </c>
      <c r="L224" s="302">
        <v>780</v>
      </c>
      <c r="M224" s="302">
        <v>780</v>
      </c>
      <c r="N224" s="302">
        <v>600</v>
      </c>
      <c r="O224" s="302">
        <v>600</v>
      </c>
      <c r="P224" s="302"/>
      <c r="Q224" s="302"/>
      <c r="R224" s="302"/>
      <c r="S224" s="302"/>
      <c r="T224" s="302"/>
      <c r="U224" s="302"/>
      <c r="V224" s="302"/>
      <c r="W224" s="302"/>
      <c r="X224" s="302"/>
      <c r="Y224" s="302"/>
      <c r="Z224" s="302"/>
      <c r="AA224" s="302"/>
      <c r="AB224" s="302"/>
      <c r="AC224" s="304">
        <v>9990</v>
      </c>
      <c r="AD224" s="300">
        <v>8820</v>
      </c>
      <c r="AE224" s="300">
        <v>8400</v>
      </c>
      <c r="AF224" s="294">
        <v>7350</v>
      </c>
      <c r="AG224" s="294">
        <v>6585</v>
      </c>
      <c r="AH224" s="294">
        <v>6315</v>
      </c>
      <c r="AI224" s="294">
        <v>6180</v>
      </c>
      <c r="AJ224" s="294">
        <v>6120</v>
      </c>
      <c r="AK224" s="294">
        <v>6270</v>
      </c>
      <c r="AL224" s="294">
        <v>6345</v>
      </c>
      <c r="AM224" s="294">
        <v>5310</v>
      </c>
      <c r="AZ224" s="312"/>
    </row>
    <row r="225" spans="1:52" x14ac:dyDescent="0.2">
      <c r="A225" s="294" t="s">
        <v>263</v>
      </c>
      <c r="C225" s="294" t="s">
        <v>401</v>
      </c>
      <c r="D225" s="294" t="s">
        <v>474</v>
      </c>
      <c r="E225" s="304">
        <v>1380</v>
      </c>
      <c r="F225" s="302">
        <v>1380</v>
      </c>
      <c r="G225" s="302">
        <v>1380</v>
      </c>
      <c r="H225" s="302">
        <v>1380</v>
      </c>
      <c r="I225" s="302">
        <v>1104</v>
      </c>
      <c r="J225" s="302">
        <v>1104</v>
      </c>
      <c r="K225" s="302">
        <v>1080</v>
      </c>
      <c r="L225" s="302">
        <v>780</v>
      </c>
      <c r="M225" s="302">
        <v>780</v>
      </c>
      <c r="N225" s="302">
        <v>600</v>
      </c>
      <c r="O225" s="302">
        <v>600</v>
      </c>
      <c r="P225" s="302"/>
      <c r="Q225" s="302"/>
      <c r="R225" s="302"/>
      <c r="S225" s="302"/>
      <c r="T225" s="302"/>
      <c r="U225" s="302"/>
      <c r="V225" s="302"/>
      <c r="W225" s="302"/>
      <c r="X225" s="302"/>
      <c r="Y225" s="302"/>
      <c r="Z225" s="302"/>
      <c r="AA225" s="302"/>
      <c r="AB225" s="302"/>
      <c r="AC225" s="304">
        <v>9120</v>
      </c>
      <c r="AD225" s="300">
        <v>8400</v>
      </c>
      <c r="AE225" s="300">
        <v>8430</v>
      </c>
      <c r="AF225" s="294">
        <v>7830</v>
      </c>
      <c r="AG225" s="294">
        <v>7337</v>
      </c>
      <c r="AH225" s="294">
        <v>7453</v>
      </c>
      <c r="AI225" s="294">
        <v>6099</v>
      </c>
      <c r="AJ225" s="294">
        <v>6270</v>
      </c>
      <c r="AK225" s="294">
        <v>6480</v>
      </c>
      <c r="AL225" s="294">
        <v>6630</v>
      </c>
      <c r="AM225" s="294">
        <v>5790</v>
      </c>
      <c r="AZ225" s="312"/>
    </row>
    <row r="226" spans="1:52" x14ac:dyDescent="0.2">
      <c r="A226" s="294" t="s">
        <v>263</v>
      </c>
      <c r="C226" s="294" t="s">
        <v>401</v>
      </c>
      <c r="D226" s="294" t="s">
        <v>473</v>
      </c>
      <c r="E226" s="304">
        <v>1380</v>
      </c>
      <c r="F226" s="302">
        <v>1380</v>
      </c>
      <c r="G226" s="302">
        <v>1380</v>
      </c>
      <c r="H226" s="302">
        <v>1380</v>
      </c>
      <c r="I226" s="302">
        <v>1104</v>
      </c>
      <c r="J226" s="302">
        <v>1104</v>
      </c>
      <c r="K226" s="302">
        <v>1080</v>
      </c>
      <c r="L226" s="302">
        <v>780</v>
      </c>
      <c r="M226" s="302">
        <v>780</v>
      </c>
      <c r="N226" s="302">
        <v>600</v>
      </c>
      <c r="O226" s="302">
        <v>600</v>
      </c>
      <c r="P226" s="302"/>
      <c r="Q226" s="302"/>
      <c r="R226" s="302"/>
      <c r="S226" s="302"/>
      <c r="T226" s="302"/>
      <c r="U226" s="302"/>
      <c r="V226" s="302"/>
      <c r="W226" s="302"/>
      <c r="X226" s="302"/>
      <c r="Y226" s="302"/>
      <c r="Z226" s="302"/>
      <c r="AA226" s="302"/>
      <c r="AB226" s="302"/>
      <c r="AC226" s="304">
        <v>9690</v>
      </c>
      <c r="AD226" s="300">
        <v>8850</v>
      </c>
      <c r="AE226" s="300">
        <v>8070</v>
      </c>
      <c r="AF226" s="294">
        <v>7050</v>
      </c>
      <c r="AG226" s="294">
        <v>6499</v>
      </c>
      <c r="AH226" s="294">
        <v>6173</v>
      </c>
      <c r="AI226" s="294">
        <v>6295</v>
      </c>
      <c r="AJ226" s="294">
        <v>6270</v>
      </c>
      <c r="AK226" s="294">
        <v>6480</v>
      </c>
      <c r="AL226" s="294">
        <v>6270</v>
      </c>
      <c r="AM226" s="294">
        <v>5460</v>
      </c>
      <c r="AZ226" s="312"/>
    </row>
    <row r="227" spans="1:52" x14ac:dyDescent="0.2">
      <c r="A227" s="294" t="s">
        <v>263</v>
      </c>
      <c r="C227" s="294" t="s">
        <v>401</v>
      </c>
      <c r="D227" s="294" t="s">
        <v>472</v>
      </c>
      <c r="E227" s="304">
        <v>1380</v>
      </c>
      <c r="F227" s="302">
        <v>1380</v>
      </c>
      <c r="G227" s="302">
        <v>1380</v>
      </c>
      <c r="H227" s="302">
        <v>1380</v>
      </c>
      <c r="I227" s="302">
        <v>1104</v>
      </c>
      <c r="J227" s="302">
        <v>1104</v>
      </c>
      <c r="K227" s="302">
        <v>1080</v>
      </c>
      <c r="L227" s="302">
        <v>780</v>
      </c>
      <c r="M227" s="302">
        <v>780</v>
      </c>
      <c r="N227" s="302">
        <v>600</v>
      </c>
      <c r="O227" s="302">
        <v>600</v>
      </c>
      <c r="P227" s="302"/>
      <c r="Q227" s="302"/>
      <c r="R227" s="302"/>
      <c r="S227" s="302"/>
      <c r="T227" s="302"/>
      <c r="U227" s="302"/>
      <c r="V227" s="302"/>
      <c r="W227" s="302"/>
      <c r="X227" s="302"/>
      <c r="Y227" s="302"/>
      <c r="Z227" s="302"/>
      <c r="AA227" s="302"/>
      <c r="AB227" s="302"/>
      <c r="AC227" s="304">
        <v>8370</v>
      </c>
      <c r="AD227" s="300">
        <v>8400</v>
      </c>
      <c r="AE227" s="300">
        <v>7890</v>
      </c>
      <c r="AF227" s="294">
        <v>8700</v>
      </c>
      <c r="AG227" s="294">
        <v>6480</v>
      </c>
      <c r="AH227" s="294">
        <v>6540</v>
      </c>
      <c r="AI227" s="294">
        <v>6180</v>
      </c>
      <c r="AJ227" s="294">
        <v>6720</v>
      </c>
      <c r="AK227" s="294">
        <v>6600</v>
      </c>
      <c r="AL227" s="294">
        <v>6720</v>
      </c>
      <c r="AM227" s="294">
        <v>6090</v>
      </c>
      <c r="AZ227" s="312"/>
    </row>
    <row r="228" spans="1:52" x14ac:dyDescent="0.2">
      <c r="A228" s="294" t="s">
        <v>263</v>
      </c>
      <c r="C228" s="294" t="s">
        <v>401</v>
      </c>
      <c r="D228" s="294" t="s">
        <v>471</v>
      </c>
      <c r="E228" s="304">
        <v>1380</v>
      </c>
      <c r="F228" s="302">
        <v>1380</v>
      </c>
      <c r="G228" s="302">
        <v>1380</v>
      </c>
      <c r="H228" s="302">
        <v>1380</v>
      </c>
      <c r="I228" s="302">
        <v>1104</v>
      </c>
      <c r="J228" s="302">
        <v>1104</v>
      </c>
      <c r="K228" s="302">
        <v>1080</v>
      </c>
      <c r="L228" s="302">
        <v>780</v>
      </c>
      <c r="M228" s="302">
        <v>780</v>
      </c>
      <c r="N228" s="302">
        <v>600</v>
      </c>
      <c r="O228" s="302">
        <v>600</v>
      </c>
      <c r="P228" s="302"/>
      <c r="Q228" s="302"/>
      <c r="R228" s="302"/>
      <c r="S228" s="302"/>
      <c r="T228" s="302"/>
      <c r="U228" s="302"/>
      <c r="V228" s="302"/>
      <c r="W228" s="302"/>
      <c r="X228" s="302"/>
      <c r="Y228" s="302"/>
      <c r="Z228" s="302"/>
      <c r="AA228" s="302"/>
      <c r="AB228" s="302"/>
      <c r="AC228" s="304">
        <v>8310</v>
      </c>
      <c r="AD228" s="300">
        <v>8430</v>
      </c>
      <c r="AE228" s="300">
        <v>7830</v>
      </c>
      <c r="AF228" s="294">
        <v>7080</v>
      </c>
      <c r="AG228" s="294">
        <v>6488</v>
      </c>
      <c r="AH228" s="294">
        <v>6219</v>
      </c>
      <c r="AI228" s="294">
        <v>6215</v>
      </c>
      <c r="AJ228" s="294">
        <v>6210</v>
      </c>
      <c r="AK228" s="294">
        <v>6210</v>
      </c>
      <c r="AL228" s="294">
        <v>6630</v>
      </c>
      <c r="AM228" s="294">
        <v>5550</v>
      </c>
      <c r="AZ228" s="312"/>
    </row>
    <row r="229" spans="1:52" x14ac:dyDescent="0.2">
      <c r="A229" s="294" t="s">
        <v>263</v>
      </c>
      <c r="C229" s="294" t="s">
        <v>401</v>
      </c>
      <c r="D229" s="294" t="s">
        <v>470</v>
      </c>
      <c r="E229" s="304">
        <v>1380</v>
      </c>
      <c r="F229" s="302">
        <v>1380</v>
      </c>
      <c r="G229" s="302">
        <v>1380</v>
      </c>
      <c r="H229" s="302">
        <v>1380</v>
      </c>
      <c r="I229" s="302">
        <v>1104</v>
      </c>
      <c r="J229" s="302">
        <v>1104</v>
      </c>
      <c r="K229" s="302">
        <v>1080</v>
      </c>
      <c r="L229" s="302">
        <v>780</v>
      </c>
      <c r="M229" s="302">
        <v>780</v>
      </c>
      <c r="N229" s="302">
        <v>600</v>
      </c>
      <c r="O229" s="302">
        <v>600</v>
      </c>
      <c r="P229" s="302"/>
      <c r="Q229" s="302"/>
      <c r="R229" s="302"/>
      <c r="S229" s="302"/>
      <c r="T229" s="302"/>
      <c r="U229" s="302"/>
      <c r="V229" s="302"/>
      <c r="W229" s="302"/>
      <c r="X229" s="302"/>
      <c r="Y229" s="302"/>
      <c r="Z229" s="302"/>
      <c r="AA229" s="302"/>
      <c r="AB229" s="302"/>
      <c r="AC229" s="304">
        <v>9480</v>
      </c>
      <c r="AD229" s="300">
        <v>9510</v>
      </c>
      <c r="AE229" s="300">
        <v>9060</v>
      </c>
      <c r="AF229" s="294">
        <v>7710</v>
      </c>
      <c r="AG229" s="294">
        <v>6515</v>
      </c>
      <c r="AH229" s="294">
        <v>6185</v>
      </c>
      <c r="AI229" s="294">
        <v>6167</v>
      </c>
      <c r="AJ229" s="294">
        <v>6270</v>
      </c>
      <c r="AK229" s="294">
        <v>6480</v>
      </c>
      <c r="AL229" s="294">
        <v>6630</v>
      </c>
      <c r="AM229" s="294">
        <v>5790</v>
      </c>
      <c r="AZ229" s="312"/>
    </row>
    <row r="230" spans="1:52" x14ac:dyDescent="0.2">
      <c r="A230" s="294" t="s">
        <v>263</v>
      </c>
      <c r="C230" s="294" t="s">
        <v>401</v>
      </c>
      <c r="D230" s="294" t="s">
        <v>469</v>
      </c>
      <c r="E230" s="304">
        <v>1380</v>
      </c>
      <c r="F230" s="302">
        <v>1380</v>
      </c>
      <c r="G230" s="302">
        <v>1380</v>
      </c>
      <c r="H230" s="302">
        <v>1380</v>
      </c>
      <c r="I230" s="302">
        <v>1104</v>
      </c>
      <c r="J230" s="302">
        <v>1104</v>
      </c>
      <c r="K230" s="302">
        <v>1080</v>
      </c>
      <c r="L230" s="302">
        <v>780</v>
      </c>
      <c r="M230" s="302">
        <v>780</v>
      </c>
      <c r="N230" s="302">
        <v>600</v>
      </c>
      <c r="O230" s="302">
        <v>600</v>
      </c>
      <c r="P230" s="302"/>
      <c r="Q230" s="302"/>
      <c r="R230" s="302"/>
      <c r="S230" s="302"/>
      <c r="T230" s="302"/>
      <c r="U230" s="302"/>
      <c r="V230" s="302"/>
      <c r="W230" s="302"/>
      <c r="X230" s="302"/>
      <c r="Y230" s="302"/>
      <c r="Z230" s="302"/>
      <c r="AA230" s="302"/>
      <c r="AB230" s="302"/>
      <c r="AC230" s="304">
        <v>9120</v>
      </c>
      <c r="AD230" s="300">
        <v>8400</v>
      </c>
      <c r="AE230" s="300">
        <v>7800</v>
      </c>
      <c r="AF230" s="294">
        <v>6780</v>
      </c>
      <c r="AG230" s="294">
        <v>6480</v>
      </c>
      <c r="AH230" s="294">
        <v>6480</v>
      </c>
      <c r="AI230" s="294">
        <v>6480</v>
      </c>
      <c r="AJ230" s="294">
        <v>6360</v>
      </c>
      <c r="AK230" s="294">
        <v>6480</v>
      </c>
      <c r="AL230" s="294">
        <v>6630</v>
      </c>
      <c r="AM230" s="294">
        <v>5490</v>
      </c>
      <c r="AZ230" s="312"/>
    </row>
    <row r="231" spans="1:52" x14ac:dyDescent="0.2">
      <c r="A231" s="294" t="s">
        <v>263</v>
      </c>
      <c r="C231" s="294" t="s">
        <v>401</v>
      </c>
      <c r="D231" s="294" t="s">
        <v>468</v>
      </c>
      <c r="E231" s="304">
        <v>1380</v>
      </c>
      <c r="F231" s="302">
        <v>1380</v>
      </c>
      <c r="G231" s="302">
        <v>1380</v>
      </c>
      <c r="H231" s="302">
        <v>1380</v>
      </c>
      <c r="I231" s="302">
        <v>1104</v>
      </c>
      <c r="J231" s="302">
        <v>1104</v>
      </c>
      <c r="K231" s="302">
        <v>1080</v>
      </c>
      <c r="L231" s="302">
        <v>780</v>
      </c>
      <c r="M231" s="302">
        <v>780</v>
      </c>
      <c r="N231" s="302">
        <v>600</v>
      </c>
      <c r="O231" s="302">
        <v>600</v>
      </c>
      <c r="P231" s="302"/>
      <c r="Q231" s="302"/>
      <c r="R231" s="302"/>
      <c r="S231" s="302"/>
      <c r="T231" s="302"/>
      <c r="U231" s="302"/>
      <c r="V231" s="302"/>
      <c r="W231" s="302"/>
      <c r="X231" s="302"/>
      <c r="Y231" s="302"/>
      <c r="Z231" s="302"/>
      <c r="AA231" s="302"/>
      <c r="AB231" s="302"/>
      <c r="AC231" s="304">
        <v>8850</v>
      </c>
      <c r="AD231" s="300">
        <v>8310</v>
      </c>
      <c r="AE231" s="300">
        <v>7650</v>
      </c>
      <c r="AF231" s="294">
        <v>6780</v>
      </c>
      <c r="AG231" s="294">
        <v>6300</v>
      </c>
      <c r="AH231" s="294">
        <v>6150</v>
      </c>
      <c r="AI231" s="294">
        <v>6060</v>
      </c>
      <c r="AJ231" s="294">
        <v>6450</v>
      </c>
      <c r="AK231" s="294">
        <v>6570</v>
      </c>
      <c r="AL231" s="294">
        <v>6630</v>
      </c>
      <c r="AM231" s="294">
        <v>5880</v>
      </c>
      <c r="AZ231" s="312"/>
    </row>
    <row r="232" spans="1:52" x14ac:dyDescent="0.2">
      <c r="A232" s="294" t="s">
        <v>263</v>
      </c>
      <c r="C232" s="294" t="s">
        <v>401</v>
      </c>
      <c r="D232" s="294" t="s">
        <v>467</v>
      </c>
      <c r="E232" s="304">
        <v>1380</v>
      </c>
      <c r="F232" s="302">
        <v>1380</v>
      </c>
      <c r="G232" s="302">
        <v>1380</v>
      </c>
      <c r="H232" s="302">
        <v>1380</v>
      </c>
      <c r="I232" s="302">
        <v>1104</v>
      </c>
      <c r="J232" s="302">
        <v>1104</v>
      </c>
      <c r="K232" s="302">
        <v>1080</v>
      </c>
      <c r="L232" s="302">
        <v>780</v>
      </c>
      <c r="M232" s="302">
        <v>780</v>
      </c>
      <c r="N232" s="302">
        <v>600</v>
      </c>
      <c r="O232" s="302">
        <v>600</v>
      </c>
      <c r="P232" s="302"/>
      <c r="Q232" s="302"/>
      <c r="R232" s="302"/>
      <c r="S232" s="302"/>
      <c r="T232" s="302"/>
      <c r="U232" s="302"/>
      <c r="V232" s="302"/>
      <c r="W232" s="302"/>
      <c r="X232" s="302"/>
      <c r="Y232" s="302"/>
      <c r="Z232" s="302"/>
      <c r="AA232" s="302"/>
      <c r="AB232" s="302"/>
      <c r="AC232" s="304">
        <v>8970</v>
      </c>
      <c r="AD232" s="300">
        <v>8550</v>
      </c>
      <c r="AE232" s="300">
        <v>7650</v>
      </c>
      <c r="AF232" s="294">
        <v>7080</v>
      </c>
      <c r="AG232" s="294">
        <v>7470</v>
      </c>
      <c r="AH232" s="294">
        <v>6780</v>
      </c>
      <c r="AI232" s="294">
        <v>7350</v>
      </c>
      <c r="AJ232" s="294">
        <v>6960</v>
      </c>
      <c r="AK232" s="294">
        <v>6480</v>
      </c>
      <c r="AL232" s="294">
        <v>6630</v>
      </c>
      <c r="AM232" s="294">
        <v>5790</v>
      </c>
      <c r="AZ232" s="312"/>
    </row>
    <row r="233" spans="1:52" x14ac:dyDescent="0.2">
      <c r="A233" s="294" t="s">
        <v>263</v>
      </c>
      <c r="C233" s="294" t="s">
        <v>401</v>
      </c>
      <c r="D233" s="294" t="s">
        <v>466</v>
      </c>
      <c r="E233" s="304">
        <v>1380</v>
      </c>
      <c r="F233" s="302">
        <v>1380</v>
      </c>
      <c r="G233" s="302">
        <v>1380</v>
      </c>
      <c r="H233" s="302">
        <v>1380</v>
      </c>
      <c r="I233" s="302">
        <v>1104</v>
      </c>
      <c r="J233" s="302">
        <v>1104</v>
      </c>
      <c r="K233" s="302">
        <v>1080</v>
      </c>
      <c r="L233" s="302">
        <v>780</v>
      </c>
      <c r="M233" s="302">
        <v>780</v>
      </c>
      <c r="N233" s="302">
        <v>600</v>
      </c>
      <c r="O233" s="302">
        <v>600</v>
      </c>
      <c r="P233" s="302"/>
      <c r="Q233" s="302"/>
      <c r="R233" s="302"/>
      <c r="S233" s="302"/>
      <c r="T233" s="302"/>
      <c r="U233" s="302"/>
      <c r="V233" s="302"/>
      <c r="W233" s="302"/>
      <c r="X233" s="302"/>
      <c r="Y233" s="302"/>
      <c r="Z233" s="302"/>
      <c r="AA233" s="302"/>
      <c r="AB233" s="302"/>
      <c r="AC233" s="304">
        <v>9570</v>
      </c>
      <c r="AD233" s="300">
        <v>11280</v>
      </c>
      <c r="AE233" s="300">
        <v>9660</v>
      </c>
      <c r="AF233" s="294">
        <v>7410</v>
      </c>
      <c r="AG233" s="294">
        <v>6305</v>
      </c>
      <c r="AH233" s="294">
        <v>6182</v>
      </c>
      <c r="AI233" s="294">
        <v>6175</v>
      </c>
      <c r="AJ233" s="294">
        <v>6270</v>
      </c>
      <c r="AK233" s="294">
        <v>6480</v>
      </c>
      <c r="AL233" s="294">
        <v>6630</v>
      </c>
      <c r="AM233" s="294">
        <v>5790</v>
      </c>
      <c r="AZ233" s="312"/>
    </row>
    <row r="234" spans="1:52" x14ac:dyDescent="0.2">
      <c r="A234" s="294" t="s">
        <v>263</v>
      </c>
      <c r="C234" s="294" t="s">
        <v>401</v>
      </c>
      <c r="D234" s="294" t="s">
        <v>465</v>
      </c>
      <c r="E234" s="304">
        <v>1380</v>
      </c>
      <c r="F234" s="302">
        <v>1380</v>
      </c>
      <c r="G234" s="302">
        <v>1380</v>
      </c>
      <c r="H234" s="302">
        <v>1380</v>
      </c>
      <c r="I234" s="302">
        <v>1104</v>
      </c>
      <c r="J234" s="302">
        <v>1104</v>
      </c>
      <c r="K234" s="302">
        <v>1080</v>
      </c>
      <c r="L234" s="302">
        <v>780</v>
      </c>
      <c r="M234" s="302">
        <v>780</v>
      </c>
      <c r="N234" s="302">
        <v>600</v>
      </c>
      <c r="O234" s="302">
        <v>600</v>
      </c>
      <c r="P234" s="302"/>
      <c r="Q234" s="302"/>
      <c r="R234" s="302"/>
      <c r="S234" s="302"/>
      <c r="T234" s="302"/>
      <c r="U234" s="302"/>
      <c r="V234" s="302"/>
      <c r="W234" s="302"/>
      <c r="X234" s="302"/>
      <c r="Y234" s="302"/>
      <c r="Z234" s="302"/>
      <c r="AA234" s="302"/>
      <c r="AB234" s="302"/>
      <c r="AC234" s="304">
        <v>9135</v>
      </c>
      <c r="AD234" s="300">
        <v>8415</v>
      </c>
      <c r="AE234" s="300">
        <v>8145</v>
      </c>
      <c r="AF234" s="294">
        <v>7170</v>
      </c>
      <c r="AG234" s="294">
        <v>7160</v>
      </c>
      <c r="AH234" s="294">
        <v>7020</v>
      </c>
      <c r="AI234" s="294">
        <v>7020</v>
      </c>
      <c r="AJ234" s="294">
        <v>7020</v>
      </c>
      <c r="AK234" s="294">
        <v>6855</v>
      </c>
      <c r="AL234" s="294">
        <v>7020</v>
      </c>
      <c r="AM234" s="294">
        <v>6210</v>
      </c>
      <c r="AZ234" s="312"/>
    </row>
    <row r="235" spans="1:52" x14ac:dyDescent="0.2">
      <c r="A235" s="294" t="s">
        <v>263</v>
      </c>
      <c r="C235" s="294" t="s">
        <v>401</v>
      </c>
      <c r="D235" s="294" t="s">
        <v>464</v>
      </c>
      <c r="E235" s="304">
        <v>1380</v>
      </c>
      <c r="F235" s="302">
        <v>1380</v>
      </c>
      <c r="G235" s="302">
        <v>1380</v>
      </c>
      <c r="H235" s="302">
        <v>1380</v>
      </c>
      <c r="I235" s="302">
        <v>1104</v>
      </c>
      <c r="J235" s="302">
        <v>1104</v>
      </c>
      <c r="K235" s="302">
        <v>1080</v>
      </c>
      <c r="L235" s="302">
        <v>780</v>
      </c>
      <c r="M235" s="302">
        <v>780</v>
      </c>
      <c r="N235" s="302">
        <v>600</v>
      </c>
      <c r="O235" s="302">
        <v>600</v>
      </c>
      <c r="P235" s="302"/>
      <c r="Q235" s="302"/>
      <c r="R235" s="302"/>
      <c r="S235" s="302"/>
      <c r="T235" s="302"/>
      <c r="U235" s="302"/>
      <c r="V235" s="302"/>
      <c r="W235" s="302"/>
      <c r="X235" s="302"/>
      <c r="Y235" s="302"/>
      <c r="Z235" s="302"/>
      <c r="AA235" s="302"/>
      <c r="AB235" s="302"/>
      <c r="AC235" s="304">
        <v>9570</v>
      </c>
      <c r="AD235" s="300">
        <v>8730</v>
      </c>
      <c r="AE235" s="300">
        <v>9420</v>
      </c>
      <c r="AF235" s="294">
        <v>6960</v>
      </c>
      <c r="AG235" s="294">
        <v>7176</v>
      </c>
      <c r="AH235" s="294">
        <v>6486</v>
      </c>
      <c r="AI235" s="294">
        <v>6096</v>
      </c>
      <c r="AJ235" s="294">
        <v>6750</v>
      </c>
      <c r="AK235" s="294">
        <v>6480</v>
      </c>
      <c r="AL235" s="294">
        <v>6630</v>
      </c>
      <c r="AM235" s="294">
        <v>5790</v>
      </c>
      <c r="AZ235" s="312"/>
    </row>
    <row r="236" spans="1:52" x14ac:dyDescent="0.2">
      <c r="A236" s="294" t="s">
        <v>263</v>
      </c>
      <c r="C236" s="294" t="s">
        <v>401</v>
      </c>
      <c r="D236" s="294" t="s">
        <v>463</v>
      </c>
      <c r="E236" s="304">
        <v>1380</v>
      </c>
      <c r="F236" s="302">
        <v>1380</v>
      </c>
      <c r="G236" s="302">
        <v>1380</v>
      </c>
      <c r="H236" s="302">
        <v>1380</v>
      </c>
      <c r="I236" s="302">
        <v>1104</v>
      </c>
      <c r="J236" s="302">
        <v>1104</v>
      </c>
      <c r="K236" s="302">
        <v>1080</v>
      </c>
      <c r="L236" s="302">
        <v>780</v>
      </c>
      <c r="M236" s="302">
        <v>780</v>
      </c>
      <c r="N236" s="302">
        <v>600</v>
      </c>
      <c r="O236" s="302">
        <v>600</v>
      </c>
      <c r="P236" s="302"/>
      <c r="Q236" s="302"/>
      <c r="R236" s="302"/>
      <c r="S236" s="302"/>
      <c r="T236" s="302"/>
      <c r="U236" s="302"/>
      <c r="V236" s="302"/>
      <c r="W236" s="302"/>
      <c r="X236" s="302"/>
      <c r="Y236" s="302"/>
      <c r="Z236" s="302"/>
      <c r="AA236" s="302"/>
      <c r="AB236" s="302"/>
      <c r="AC236" s="304">
        <v>9630</v>
      </c>
      <c r="AD236" s="300">
        <v>8730</v>
      </c>
      <c r="AE236" s="300">
        <v>8670</v>
      </c>
      <c r="AF236" s="294">
        <v>8910</v>
      </c>
      <c r="AG236" s="294">
        <v>7326</v>
      </c>
      <c r="AH236" s="294">
        <v>7183</v>
      </c>
      <c r="AI236" s="294">
        <v>6882</v>
      </c>
      <c r="AJ236" s="294">
        <v>6630</v>
      </c>
      <c r="AK236" s="294">
        <v>6480</v>
      </c>
      <c r="AL236" s="294">
        <v>6600</v>
      </c>
      <c r="AM236" s="294">
        <v>5700</v>
      </c>
      <c r="AZ236" s="312"/>
    </row>
    <row r="237" spans="1:52" x14ac:dyDescent="0.2">
      <c r="A237" s="294" t="s">
        <v>263</v>
      </c>
      <c r="C237" s="294" t="s">
        <v>401</v>
      </c>
      <c r="D237" s="294" t="s">
        <v>462</v>
      </c>
      <c r="E237" s="304">
        <v>1380</v>
      </c>
      <c r="F237" s="302">
        <v>1380</v>
      </c>
      <c r="G237" s="302">
        <v>1380</v>
      </c>
      <c r="H237" s="302">
        <v>1380</v>
      </c>
      <c r="I237" s="302">
        <v>1104</v>
      </c>
      <c r="J237" s="302">
        <v>1104</v>
      </c>
      <c r="K237" s="302">
        <v>1080</v>
      </c>
      <c r="L237" s="302">
        <v>780</v>
      </c>
      <c r="M237" s="302">
        <v>780</v>
      </c>
      <c r="N237" s="302">
        <v>600</v>
      </c>
      <c r="O237" s="302">
        <v>600</v>
      </c>
      <c r="P237" s="302"/>
      <c r="Q237" s="302"/>
      <c r="R237" s="302"/>
      <c r="S237" s="302"/>
      <c r="T237" s="302"/>
      <c r="U237" s="302"/>
      <c r="V237" s="302"/>
      <c r="W237" s="302"/>
      <c r="X237" s="302"/>
      <c r="Y237" s="302"/>
      <c r="Z237" s="302"/>
      <c r="AA237" s="302"/>
      <c r="AB237" s="302"/>
      <c r="AC237" s="304">
        <v>10500</v>
      </c>
      <c r="AD237" s="300">
        <v>8400</v>
      </c>
      <c r="AE237" s="300">
        <v>7710</v>
      </c>
      <c r="AF237" s="294">
        <v>8190</v>
      </c>
      <c r="AG237" s="294">
        <v>6885</v>
      </c>
      <c r="AH237" s="294">
        <v>6750</v>
      </c>
      <c r="AI237" s="294">
        <v>6750</v>
      </c>
      <c r="AJ237" s="294">
        <v>6750</v>
      </c>
      <c r="AK237" s="294">
        <v>6480</v>
      </c>
      <c r="AL237" s="294">
        <v>6690</v>
      </c>
      <c r="AM237" s="294">
        <v>6090</v>
      </c>
      <c r="AZ237" s="312"/>
    </row>
    <row r="238" spans="1:52" x14ac:dyDescent="0.2">
      <c r="A238" s="294" t="s">
        <v>263</v>
      </c>
      <c r="C238" s="294" t="s">
        <v>401</v>
      </c>
      <c r="D238" s="294" t="s">
        <v>461</v>
      </c>
      <c r="E238" s="304">
        <v>1380</v>
      </c>
      <c r="F238" s="302">
        <v>1380</v>
      </c>
      <c r="G238" s="302">
        <v>1380</v>
      </c>
      <c r="H238" s="302">
        <v>1380</v>
      </c>
      <c r="I238" s="302">
        <v>1104</v>
      </c>
      <c r="J238" s="302">
        <v>1104</v>
      </c>
      <c r="K238" s="302">
        <v>1080</v>
      </c>
      <c r="L238" s="302">
        <v>780</v>
      </c>
      <c r="M238" s="302">
        <v>780</v>
      </c>
      <c r="N238" s="302">
        <v>600</v>
      </c>
      <c r="O238" s="302">
        <v>600</v>
      </c>
      <c r="P238" s="302"/>
      <c r="Q238" s="302"/>
      <c r="R238" s="302"/>
      <c r="S238" s="302"/>
      <c r="T238" s="302"/>
      <c r="U238" s="302"/>
      <c r="V238" s="302"/>
      <c r="W238" s="302"/>
      <c r="X238" s="302"/>
      <c r="Y238" s="302"/>
      <c r="Z238" s="302"/>
      <c r="AA238" s="302"/>
      <c r="AB238" s="302"/>
      <c r="AC238" s="304">
        <v>10590</v>
      </c>
      <c r="AD238" s="300">
        <v>9270</v>
      </c>
      <c r="AE238" s="300">
        <v>9090</v>
      </c>
      <c r="AF238" s="294">
        <v>8550</v>
      </c>
      <c r="AG238" s="294">
        <v>6522</v>
      </c>
      <c r="AH238" s="294">
        <v>6180</v>
      </c>
      <c r="AI238" s="294">
        <v>6275</v>
      </c>
      <c r="AJ238" s="294">
        <v>6270</v>
      </c>
      <c r="AK238" s="294">
        <v>6480</v>
      </c>
      <c r="AL238" s="294">
        <v>6630</v>
      </c>
      <c r="AM238" s="294">
        <v>5820</v>
      </c>
      <c r="AZ238" s="312"/>
    </row>
    <row r="239" spans="1:52" x14ac:dyDescent="0.2">
      <c r="A239" s="294" t="s">
        <v>263</v>
      </c>
      <c r="C239" s="294" t="s">
        <v>401</v>
      </c>
      <c r="D239" s="294" t="s">
        <v>460</v>
      </c>
      <c r="E239" s="304">
        <v>1380</v>
      </c>
      <c r="F239" s="302">
        <v>1380</v>
      </c>
      <c r="G239" s="302">
        <v>1380</v>
      </c>
      <c r="H239" s="302">
        <v>1380</v>
      </c>
      <c r="I239" s="302">
        <v>1104</v>
      </c>
      <c r="J239" s="302">
        <v>1104</v>
      </c>
      <c r="K239" s="302">
        <v>1080</v>
      </c>
      <c r="L239" s="302">
        <v>780</v>
      </c>
      <c r="M239" s="302">
        <v>780</v>
      </c>
      <c r="N239" s="302">
        <v>600</v>
      </c>
      <c r="O239" s="302">
        <v>600</v>
      </c>
      <c r="P239" s="302"/>
      <c r="Q239" s="302"/>
      <c r="R239" s="302"/>
      <c r="S239" s="302"/>
      <c r="T239" s="302"/>
      <c r="U239" s="302"/>
      <c r="V239" s="302"/>
      <c r="W239" s="302"/>
      <c r="X239" s="302"/>
      <c r="Y239" s="302"/>
      <c r="Z239" s="302"/>
      <c r="AA239" s="302"/>
      <c r="AB239" s="302"/>
      <c r="AC239" s="304">
        <v>8910</v>
      </c>
      <c r="AD239" s="300">
        <v>9240</v>
      </c>
      <c r="AE239" s="300">
        <v>8670</v>
      </c>
      <c r="AF239" s="294">
        <v>7440</v>
      </c>
      <c r="AG239" s="294">
        <v>6502</v>
      </c>
      <c r="AH239" s="294">
        <v>6502</v>
      </c>
      <c r="AI239" s="294">
        <v>6497</v>
      </c>
      <c r="AJ239" s="294">
        <v>6360</v>
      </c>
      <c r="AK239" s="294">
        <v>6480</v>
      </c>
      <c r="AL239" s="294">
        <v>6630</v>
      </c>
      <c r="AM239" s="294">
        <v>5790</v>
      </c>
      <c r="AZ239" s="312"/>
    </row>
    <row r="240" spans="1:52" x14ac:dyDescent="0.2">
      <c r="A240" s="294" t="s">
        <v>263</v>
      </c>
      <c r="C240" s="294" t="s">
        <v>401</v>
      </c>
      <c r="D240" s="294" t="s">
        <v>459</v>
      </c>
      <c r="E240" s="304">
        <v>1380</v>
      </c>
      <c r="F240" s="302">
        <v>1380</v>
      </c>
      <c r="G240" s="302">
        <v>1380</v>
      </c>
      <c r="H240" s="302">
        <v>1380</v>
      </c>
      <c r="I240" s="302">
        <v>1104</v>
      </c>
      <c r="J240" s="302">
        <v>1104</v>
      </c>
      <c r="K240" s="302">
        <v>1080</v>
      </c>
      <c r="L240" s="302">
        <v>780</v>
      </c>
      <c r="M240" s="302">
        <v>780</v>
      </c>
      <c r="N240" s="302">
        <v>600</v>
      </c>
      <c r="O240" s="302">
        <v>600</v>
      </c>
      <c r="P240" s="302"/>
      <c r="Q240" s="302"/>
      <c r="R240" s="302"/>
      <c r="S240" s="302"/>
      <c r="T240" s="302"/>
      <c r="U240" s="302"/>
      <c r="V240" s="302"/>
      <c r="W240" s="302"/>
      <c r="X240" s="302"/>
      <c r="Y240" s="302"/>
      <c r="Z240" s="302"/>
      <c r="AA240" s="302"/>
      <c r="AB240" s="302"/>
      <c r="AC240" s="304">
        <v>8910</v>
      </c>
      <c r="AD240" s="300">
        <v>9240</v>
      </c>
      <c r="AE240" s="300">
        <v>8670</v>
      </c>
      <c r="AF240" s="294">
        <v>7440</v>
      </c>
      <c r="AG240" s="294">
        <v>6502</v>
      </c>
      <c r="AH240" s="294">
        <v>6502</v>
      </c>
      <c r="AI240" s="294">
        <v>6497</v>
      </c>
      <c r="AJ240" s="294">
        <v>6360</v>
      </c>
      <c r="AK240" s="294">
        <v>6480</v>
      </c>
      <c r="AL240" s="294">
        <v>6630</v>
      </c>
      <c r="AM240" s="294">
        <v>5790</v>
      </c>
      <c r="AZ240" s="312"/>
    </row>
    <row r="241" spans="1:52" x14ac:dyDescent="0.2">
      <c r="A241" s="294" t="s">
        <v>263</v>
      </c>
      <c r="C241" s="294" t="s">
        <v>401</v>
      </c>
      <c r="D241" s="294" t="s">
        <v>458</v>
      </c>
      <c r="E241" s="304">
        <v>1380</v>
      </c>
      <c r="F241" s="302">
        <v>1380</v>
      </c>
      <c r="G241" s="302">
        <v>1380</v>
      </c>
      <c r="H241" s="302">
        <v>1380</v>
      </c>
      <c r="I241" s="302">
        <v>1104</v>
      </c>
      <c r="J241" s="302">
        <v>1104</v>
      </c>
      <c r="K241" s="302">
        <v>1080</v>
      </c>
      <c r="L241" s="302">
        <v>780</v>
      </c>
      <c r="M241" s="302">
        <v>780</v>
      </c>
      <c r="N241" s="302">
        <v>600</v>
      </c>
      <c r="O241" s="302">
        <v>600</v>
      </c>
      <c r="P241" s="302"/>
      <c r="Q241" s="302"/>
      <c r="R241" s="302"/>
      <c r="S241" s="302"/>
      <c r="T241" s="302"/>
      <c r="U241" s="302"/>
      <c r="V241" s="302"/>
      <c r="W241" s="302"/>
      <c r="X241" s="302"/>
      <c r="Y241" s="302"/>
      <c r="Z241" s="302"/>
      <c r="AA241" s="302"/>
      <c r="AB241" s="302"/>
      <c r="AC241" s="304">
        <v>8910</v>
      </c>
      <c r="AD241" s="300">
        <v>9240</v>
      </c>
      <c r="AE241" s="300">
        <v>8670</v>
      </c>
      <c r="AF241" s="294">
        <v>7440</v>
      </c>
      <c r="AG241" s="294">
        <v>6502</v>
      </c>
      <c r="AH241" s="294">
        <v>6502</v>
      </c>
      <c r="AI241" s="294">
        <v>6497</v>
      </c>
      <c r="AJ241" s="294">
        <v>6360</v>
      </c>
      <c r="AK241" s="294">
        <v>6480</v>
      </c>
      <c r="AL241" s="294">
        <v>6630</v>
      </c>
      <c r="AM241" s="294">
        <v>5790</v>
      </c>
      <c r="AZ241" s="312"/>
    </row>
    <row r="242" spans="1:52" x14ac:dyDescent="0.2">
      <c r="A242" s="294" t="s">
        <v>263</v>
      </c>
      <c r="C242" s="294" t="s">
        <v>401</v>
      </c>
      <c r="D242" s="294" t="s">
        <v>457</v>
      </c>
      <c r="E242" s="304">
        <v>1380</v>
      </c>
      <c r="F242" s="302">
        <v>1380</v>
      </c>
      <c r="G242" s="302">
        <v>1380</v>
      </c>
      <c r="H242" s="302">
        <v>1380</v>
      </c>
      <c r="I242" s="302">
        <v>1104</v>
      </c>
      <c r="J242" s="302">
        <v>1104</v>
      </c>
      <c r="K242" s="302">
        <v>1080</v>
      </c>
      <c r="L242" s="302">
        <v>780</v>
      </c>
      <c r="M242" s="302">
        <v>780</v>
      </c>
      <c r="N242" s="302">
        <v>600</v>
      </c>
      <c r="O242" s="302">
        <v>600</v>
      </c>
      <c r="P242" s="302"/>
      <c r="Q242" s="302"/>
      <c r="R242" s="302"/>
      <c r="S242" s="302"/>
      <c r="T242" s="302"/>
      <c r="U242" s="302"/>
      <c r="V242" s="302"/>
      <c r="W242" s="302"/>
      <c r="X242" s="302"/>
      <c r="Y242" s="302"/>
      <c r="Z242" s="302"/>
      <c r="AA242" s="302"/>
      <c r="AB242" s="302"/>
      <c r="AC242" s="304">
        <v>8910</v>
      </c>
      <c r="AD242" s="300">
        <v>9240</v>
      </c>
      <c r="AE242" s="300">
        <v>8670</v>
      </c>
      <c r="AF242" s="294">
        <v>7440</v>
      </c>
      <c r="AG242" s="294">
        <v>6502</v>
      </c>
      <c r="AH242" s="294">
        <v>6502</v>
      </c>
      <c r="AI242" s="294">
        <v>6497</v>
      </c>
      <c r="AJ242" s="294">
        <v>6360</v>
      </c>
      <c r="AK242" s="294">
        <v>6480</v>
      </c>
      <c r="AL242" s="294">
        <v>6630</v>
      </c>
      <c r="AM242" s="294">
        <v>5790</v>
      </c>
      <c r="AZ242" s="312"/>
    </row>
    <row r="243" spans="1:52" x14ac:dyDescent="0.2">
      <c r="A243" s="294" t="s">
        <v>263</v>
      </c>
      <c r="C243" s="294" t="s">
        <v>401</v>
      </c>
      <c r="D243" s="294" t="s">
        <v>456</v>
      </c>
      <c r="E243" s="304">
        <v>1380</v>
      </c>
      <c r="F243" s="302">
        <v>1380</v>
      </c>
      <c r="G243" s="302">
        <v>1380</v>
      </c>
      <c r="H243" s="302">
        <v>1380</v>
      </c>
      <c r="I243" s="302">
        <v>1104</v>
      </c>
      <c r="J243" s="302">
        <v>1104</v>
      </c>
      <c r="K243" s="302">
        <v>1080</v>
      </c>
      <c r="L243" s="302">
        <v>780</v>
      </c>
      <c r="M243" s="302">
        <v>780</v>
      </c>
      <c r="N243" s="302">
        <v>600</v>
      </c>
      <c r="O243" s="302">
        <v>600</v>
      </c>
      <c r="P243" s="302"/>
      <c r="Q243" s="302"/>
      <c r="R243" s="302"/>
      <c r="S243" s="302"/>
      <c r="T243" s="302"/>
      <c r="U243" s="302"/>
      <c r="V243" s="302"/>
      <c r="W243" s="302"/>
      <c r="X243" s="302"/>
      <c r="Y243" s="302"/>
      <c r="Z243" s="302"/>
      <c r="AA243" s="302"/>
      <c r="AB243" s="302"/>
      <c r="AC243" s="304">
        <v>8910</v>
      </c>
      <c r="AD243" s="300">
        <v>9240</v>
      </c>
      <c r="AE243" s="300">
        <v>8670</v>
      </c>
      <c r="AF243" s="294">
        <v>7440</v>
      </c>
      <c r="AG243" s="294">
        <v>6502</v>
      </c>
      <c r="AH243" s="294">
        <v>6502</v>
      </c>
      <c r="AI243" s="294">
        <v>6497</v>
      </c>
      <c r="AJ243" s="294">
        <v>6360</v>
      </c>
      <c r="AK243" s="294">
        <v>6480</v>
      </c>
      <c r="AL243" s="294">
        <v>6630</v>
      </c>
      <c r="AM243" s="294">
        <v>5790</v>
      </c>
      <c r="AZ243" s="312"/>
    </row>
    <row r="244" spans="1:52" s="307" customFormat="1" x14ac:dyDescent="0.2">
      <c r="A244" s="294" t="s">
        <v>263</v>
      </c>
      <c r="B244" s="294"/>
      <c r="C244" s="294" t="s">
        <v>401</v>
      </c>
      <c r="D244" s="294" t="s">
        <v>455</v>
      </c>
      <c r="E244" s="304">
        <v>1380</v>
      </c>
      <c r="F244" s="302">
        <v>1380</v>
      </c>
      <c r="G244" s="302">
        <v>1380</v>
      </c>
      <c r="H244" s="302">
        <v>1380</v>
      </c>
      <c r="I244" s="302">
        <v>1104</v>
      </c>
      <c r="J244" s="302">
        <v>1104</v>
      </c>
      <c r="K244" s="302">
        <v>1080</v>
      </c>
      <c r="L244" s="302">
        <v>780</v>
      </c>
      <c r="M244" s="302">
        <v>780</v>
      </c>
      <c r="N244" s="302">
        <v>600</v>
      </c>
      <c r="O244" s="302">
        <v>600</v>
      </c>
      <c r="P244" s="302"/>
      <c r="Q244" s="302"/>
      <c r="R244" s="302"/>
      <c r="S244" s="302"/>
      <c r="T244" s="302"/>
      <c r="U244" s="302"/>
      <c r="V244" s="302"/>
      <c r="W244" s="302"/>
      <c r="X244" s="302"/>
      <c r="Y244" s="302"/>
      <c r="Z244" s="302"/>
      <c r="AA244" s="302"/>
      <c r="AB244" s="302"/>
      <c r="AC244" s="304">
        <v>8910</v>
      </c>
      <c r="AD244" s="300">
        <v>9240</v>
      </c>
      <c r="AE244" s="300">
        <v>8670</v>
      </c>
      <c r="AF244" s="294">
        <v>7440</v>
      </c>
      <c r="AG244" s="294">
        <v>6502</v>
      </c>
      <c r="AH244" s="294">
        <v>6502</v>
      </c>
      <c r="AI244" s="294">
        <v>6497</v>
      </c>
      <c r="AJ244" s="294">
        <v>6360</v>
      </c>
      <c r="AK244" s="294">
        <v>6480</v>
      </c>
      <c r="AL244" s="294">
        <v>6630</v>
      </c>
      <c r="AM244" s="294">
        <v>5790</v>
      </c>
      <c r="AZ244" s="312"/>
    </row>
    <row r="245" spans="1:52" x14ac:dyDescent="0.2">
      <c r="A245" s="294" t="s">
        <v>263</v>
      </c>
      <c r="C245" s="294" t="s">
        <v>401</v>
      </c>
      <c r="D245" s="294" t="s">
        <v>454</v>
      </c>
      <c r="E245" s="304">
        <v>1380</v>
      </c>
      <c r="F245" s="302">
        <v>1380</v>
      </c>
      <c r="G245" s="302">
        <v>1380</v>
      </c>
      <c r="H245" s="302">
        <v>1380</v>
      </c>
      <c r="I245" s="302">
        <v>1104</v>
      </c>
      <c r="J245" s="302">
        <v>1104</v>
      </c>
      <c r="K245" s="302">
        <v>1080</v>
      </c>
      <c r="L245" s="302">
        <v>780</v>
      </c>
      <c r="M245" s="302">
        <v>780</v>
      </c>
      <c r="N245" s="302">
        <v>600</v>
      </c>
      <c r="O245" s="302">
        <v>600</v>
      </c>
      <c r="P245" s="302"/>
      <c r="Q245" s="302"/>
      <c r="R245" s="302"/>
      <c r="S245" s="302"/>
      <c r="T245" s="302"/>
      <c r="U245" s="302"/>
      <c r="V245" s="302"/>
      <c r="W245" s="302"/>
      <c r="X245" s="302"/>
      <c r="Y245" s="302"/>
      <c r="Z245" s="302"/>
      <c r="AA245" s="302"/>
      <c r="AB245" s="302"/>
      <c r="AC245" s="304">
        <v>8910</v>
      </c>
      <c r="AD245" s="300">
        <v>9240</v>
      </c>
      <c r="AE245" s="300">
        <v>8670</v>
      </c>
      <c r="AF245" s="294">
        <v>7440</v>
      </c>
      <c r="AG245" s="294">
        <v>6502</v>
      </c>
      <c r="AH245" s="294">
        <v>6502</v>
      </c>
      <c r="AI245" s="294">
        <v>6497</v>
      </c>
      <c r="AJ245" s="294">
        <v>6360</v>
      </c>
      <c r="AK245" s="294">
        <v>6480</v>
      </c>
      <c r="AL245" s="294">
        <v>6630</v>
      </c>
      <c r="AM245" s="294">
        <v>5790</v>
      </c>
      <c r="AZ245" s="312"/>
    </row>
    <row r="246" spans="1:52" x14ac:dyDescent="0.2">
      <c r="A246" s="294" t="s">
        <v>263</v>
      </c>
      <c r="C246" s="294" t="s">
        <v>401</v>
      </c>
      <c r="D246" s="294" t="s">
        <v>453</v>
      </c>
      <c r="E246" s="304">
        <v>1380</v>
      </c>
      <c r="F246" s="302">
        <v>1380</v>
      </c>
      <c r="G246" s="302">
        <v>1380</v>
      </c>
      <c r="H246" s="302">
        <v>1380</v>
      </c>
      <c r="I246" s="302">
        <v>1104</v>
      </c>
      <c r="J246" s="302">
        <v>1104</v>
      </c>
      <c r="K246" s="302">
        <v>1080</v>
      </c>
      <c r="L246" s="302">
        <v>780</v>
      </c>
      <c r="M246" s="302">
        <v>780</v>
      </c>
      <c r="N246" s="302">
        <v>600</v>
      </c>
      <c r="O246" s="302">
        <v>600</v>
      </c>
      <c r="P246" s="302"/>
      <c r="Q246" s="302"/>
      <c r="R246" s="302"/>
      <c r="S246" s="302"/>
      <c r="T246" s="302"/>
      <c r="U246" s="302"/>
      <c r="V246" s="302"/>
      <c r="W246" s="302"/>
      <c r="X246" s="302"/>
      <c r="Y246" s="302"/>
      <c r="Z246" s="302"/>
      <c r="AA246" s="302"/>
      <c r="AB246" s="302"/>
      <c r="AC246" s="304">
        <v>9150</v>
      </c>
      <c r="AD246" s="300">
        <v>9000</v>
      </c>
      <c r="AE246" s="300">
        <v>8490</v>
      </c>
      <c r="AF246" s="294">
        <v>7320</v>
      </c>
      <c r="AG246" s="294">
        <v>6727</v>
      </c>
      <c r="AH246" s="294">
        <v>6636</v>
      </c>
      <c r="AI246" s="294">
        <v>6485</v>
      </c>
      <c r="AJ246" s="294">
        <v>6330</v>
      </c>
      <c r="AK246" s="294">
        <v>6480</v>
      </c>
      <c r="AL246" s="294">
        <v>6630</v>
      </c>
      <c r="AM246" s="294">
        <v>5700</v>
      </c>
      <c r="AZ246" s="312"/>
    </row>
    <row r="247" spans="1:52" x14ac:dyDescent="0.2">
      <c r="A247" s="294" t="s">
        <v>263</v>
      </c>
      <c r="C247" s="294" t="s">
        <v>401</v>
      </c>
      <c r="D247" s="294" t="s">
        <v>452</v>
      </c>
      <c r="E247" s="304">
        <v>1380</v>
      </c>
      <c r="F247" s="302">
        <v>1380</v>
      </c>
      <c r="G247" s="302">
        <v>1380</v>
      </c>
      <c r="H247" s="302">
        <v>1380</v>
      </c>
      <c r="I247" s="302">
        <v>1104</v>
      </c>
      <c r="J247" s="302">
        <v>1104</v>
      </c>
      <c r="K247" s="302">
        <v>1080</v>
      </c>
      <c r="L247" s="302">
        <v>780</v>
      </c>
      <c r="M247" s="302">
        <v>780</v>
      </c>
      <c r="N247" s="302">
        <v>600</v>
      </c>
      <c r="O247" s="302">
        <v>600</v>
      </c>
      <c r="P247" s="302"/>
      <c r="Q247" s="302"/>
      <c r="R247" s="302"/>
      <c r="S247" s="302"/>
      <c r="T247" s="302"/>
      <c r="U247" s="302"/>
      <c r="V247" s="302"/>
      <c r="W247" s="302"/>
      <c r="X247" s="302"/>
      <c r="Y247" s="302"/>
      <c r="Z247" s="302"/>
      <c r="AA247" s="302"/>
      <c r="AB247" s="302"/>
      <c r="AC247" s="304">
        <v>10980</v>
      </c>
      <c r="AD247" s="300">
        <v>9270</v>
      </c>
      <c r="AE247" s="300">
        <v>9210</v>
      </c>
      <c r="AF247" s="294">
        <v>8550</v>
      </c>
      <c r="AG247" s="294">
        <v>6933</v>
      </c>
      <c r="AH247" s="294">
        <v>6845</v>
      </c>
      <c r="AI247" s="294">
        <v>6723</v>
      </c>
      <c r="AJ247" s="294">
        <v>6600</v>
      </c>
      <c r="AK247" s="294">
        <v>6300</v>
      </c>
      <c r="AL247" s="294">
        <v>6690</v>
      </c>
      <c r="AM247" s="294">
        <v>5970</v>
      </c>
      <c r="AZ247" s="312"/>
    </row>
    <row r="248" spans="1:52" x14ac:dyDescent="0.2">
      <c r="A248" s="294" t="s">
        <v>263</v>
      </c>
      <c r="C248" s="294" t="s">
        <v>401</v>
      </c>
      <c r="D248" s="294" t="s">
        <v>451</v>
      </c>
      <c r="E248" s="304">
        <v>1380</v>
      </c>
      <c r="F248" s="302">
        <v>1380</v>
      </c>
      <c r="G248" s="302">
        <v>1380</v>
      </c>
      <c r="H248" s="302">
        <v>1380</v>
      </c>
      <c r="I248" s="302">
        <v>1104</v>
      </c>
      <c r="J248" s="302">
        <v>1104</v>
      </c>
      <c r="K248" s="302">
        <v>1080</v>
      </c>
      <c r="L248" s="302">
        <v>780</v>
      </c>
      <c r="M248" s="302">
        <v>780</v>
      </c>
      <c r="N248" s="302">
        <v>600</v>
      </c>
      <c r="O248" s="302">
        <v>600</v>
      </c>
      <c r="P248" s="302"/>
      <c r="Q248" s="302"/>
      <c r="R248" s="302"/>
      <c r="S248" s="302"/>
      <c r="T248" s="302"/>
      <c r="U248" s="302"/>
      <c r="V248" s="302"/>
      <c r="W248" s="302"/>
      <c r="X248" s="302"/>
      <c r="Y248" s="302"/>
      <c r="Z248" s="302"/>
      <c r="AA248" s="302"/>
      <c r="AB248" s="302"/>
      <c r="AC248" s="304">
        <v>9120</v>
      </c>
      <c r="AD248" s="300">
        <v>8400</v>
      </c>
      <c r="AE248" s="300">
        <v>7710</v>
      </c>
      <c r="AF248" s="294">
        <v>6780</v>
      </c>
      <c r="AG248" s="294">
        <v>6480</v>
      </c>
      <c r="AH248" s="294">
        <v>6780</v>
      </c>
      <c r="AI248" s="294">
        <v>6630</v>
      </c>
      <c r="AJ248" s="294">
        <v>6480</v>
      </c>
      <c r="AK248" s="294">
        <v>6480</v>
      </c>
      <c r="AL248" s="294">
        <v>6750</v>
      </c>
      <c r="AM248" s="294">
        <v>6150</v>
      </c>
      <c r="AZ248" s="312"/>
    </row>
    <row r="249" spans="1:52" x14ac:dyDescent="0.2">
      <c r="A249" s="294" t="s">
        <v>263</v>
      </c>
      <c r="C249" s="294" t="s">
        <v>401</v>
      </c>
      <c r="D249" s="294" t="s">
        <v>450</v>
      </c>
      <c r="E249" s="304">
        <v>1380</v>
      </c>
      <c r="F249" s="302">
        <v>1380</v>
      </c>
      <c r="G249" s="302">
        <v>1380</v>
      </c>
      <c r="H249" s="302">
        <v>1380</v>
      </c>
      <c r="I249" s="302">
        <v>1104</v>
      </c>
      <c r="J249" s="302">
        <v>1104</v>
      </c>
      <c r="K249" s="302">
        <v>1080</v>
      </c>
      <c r="L249" s="302">
        <v>780</v>
      </c>
      <c r="M249" s="302">
        <v>780</v>
      </c>
      <c r="N249" s="302">
        <v>600</v>
      </c>
      <c r="O249" s="302">
        <v>600</v>
      </c>
      <c r="P249" s="302"/>
      <c r="Q249" s="302"/>
      <c r="R249" s="302"/>
      <c r="S249" s="302"/>
      <c r="T249" s="302"/>
      <c r="U249" s="302"/>
      <c r="V249" s="302"/>
      <c r="W249" s="302"/>
      <c r="X249" s="302"/>
      <c r="Y249" s="302"/>
      <c r="Z249" s="302"/>
      <c r="AA249" s="302"/>
      <c r="AB249" s="302"/>
      <c r="AC249" s="304">
        <v>9120</v>
      </c>
      <c r="AD249" s="300">
        <v>7620</v>
      </c>
      <c r="AE249" s="300">
        <v>7620</v>
      </c>
      <c r="AF249" s="294">
        <v>7020</v>
      </c>
      <c r="AG249" s="294">
        <v>7160</v>
      </c>
      <c r="AH249" s="294">
        <v>7020</v>
      </c>
      <c r="AI249" s="294">
        <v>7020</v>
      </c>
      <c r="AJ249" s="294">
        <v>7020</v>
      </c>
      <c r="AK249" s="294">
        <v>6480</v>
      </c>
      <c r="AL249" s="294">
        <v>6630</v>
      </c>
      <c r="AM249" s="294">
        <v>5790</v>
      </c>
      <c r="AZ249" s="312"/>
    </row>
    <row r="250" spans="1:52" x14ac:dyDescent="0.2">
      <c r="A250" s="294" t="s">
        <v>263</v>
      </c>
      <c r="C250" s="294" t="s">
        <v>401</v>
      </c>
      <c r="D250" s="294" t="s">
        <v>449</v>
      </c>
      <c r="E250" s="304">
        <v>1380</v>
      </c>
      <c r="F250" s="302">
        <v>1380</v>
      </c>
      <c r="G250" s="302">
        <v>1380</v>
      </c>
      <c r="H250" s="302">
        <v>1380</v>
      </c>
      <c r="I250" s="302">
        <v>1104</v>
      </c>
      <c r="J250" s="302">
        <v>1104</v>
      </c>
      <c r="K250" s="302">
        <v>1080</v>
      </c>
      <c r="L250" s="302">
        <v>780</v>
      </c>
      <c r="M250" s="302">
        <v>780</v>
      </c>
      <c r="N250" s="302">
        <v>600</v>
      </c>
      <c r="O250" s="302">
        <v>600</v>
      </c>
      <c r="P250" s="302"/>
      <c r="Q250" s="302"/>
      <c r="R250" s="302"/>
      <c r="S250" s="302"/>
      <c r="T250" s="302"/>
      <c r="U250" s="302"/>
      <c r="V250" s="302"/>
      <c r="W250" s="302"/>
      <c r="X250" s="302"/>
      <c r="Y250" s="302"/>
      <c r="Z250" s="302"/>
      <c r="AA250" s="302"/>
      <c r="AB250" s="302"/>
      <c r="AC250" s="304">
        <v>9570</v>
      </c>
      <c r="AD250" s="300">
        <v>8730</v>
      </c>
      <c r="AE250" s="300">
        <v>9420</v>
      </c>
      <c r="AF250" s="294">
        <v>6960</v>
      </c>
      <c r="AG250" s="294">
        <v>7176</v>
      </c>
      <c r="AH250" s="294">
        <v>6486</v>
      </c>
      <c r="AI250" s="294">
        <v>6096</v>
      </c>
      <c r="AJ250" s="294">
        <v>6750</v>
      </c>
      <c r="AK250" s="294">
        <v>6480</v>
      </c>
      <c r="AL250" s="294">
        <v>6630</v>
      </c>
      <c r="AM250" s="294">
        <v>5790</v>
      </c>
      <c r="AZ250" s="312"/>
    </row>
    <row r="251" spans="1:52" x14ac:dyDescent="0.2">
      <c r="A251" s="294" t="s">
        <v>263</v>
      </c>
      <c r="C251" s="294" t="s">
        <v>401</v>
      </c>
      <c r="D251" s="294" t="s">
        <v>448</v>
      </c>
      <c r="E251" s="304">
        <v>1380</v>
      </c>
      <c r="F251" s="302">
        <v>1380</v>
      </c>
      <c r="G251" s="302">
        <v>1380</v>
      </c>
      <c r="H251" s="302">
        <v>1380</v>
      </c>
      <c r="I251" s="302">
        <v>1104</v>
      </c>
      <c r="J251" s="302">
        <v>1104</v>
      </c>
      <c r="K251" s="302">
        <v>1080</v>
      </c>
      <c r="L251" s="302">
        <v>780</v>
      </c>
      <c r="M251" s="302">
        <v>780</v>
      </c>
      <c r="N251" s="302">
        <v>600</v>
      </c>
      <c r="O251" s="302">
        <v>600</v>
      </c>
      <c r="P251" s="302"/>
      <c r="Q251" s="302"/>
      <c r="R251" s="302"/>
      <c r="S251" s="302"/>
      <c r="T251" s="302"/>
      <c r="U251" s="302"/>
      <c r="V251" s="302"/>
      <c r="W251" s="302"/>
      <c r="X251" s="302"/>
      <c r="Y251" s="302"/>
      <c r="Z251" s="302"/>
      <c r="AA251" s="302"/>
      <c r="AB251" s="302"/>
      <c r="AC251" s="304">
        <v>8400</v>
      </c>
      <c r="AD251" s="300">
        <v>8400</v>
      </c>
      <c r="AE251" s="300">
        <v>7710</v>
      </c>
      <c r="AF251" s="294">
        <v>6780</v>
      </c>
      <c r="AG251" s="294">
        <v>6480</v>
      </c>
      <c r="AH251" s="294">
        <v>6330</v>
      </c>
      <c r="AI251" s="294">
        <v>6330</v>
      </c>
      <c r="AJ251" s="294">
        <v>6330</v>
      </c>
      <c r="AK251" s="294">
        <v>6480</v>
      </c>
      <c r="AL251" s="294">
        <v>6630</v>
      </c>
      <c r="AM251" s="294">
        <v>5490</v>
      </c>
      <c r="AZ251" s="312"/>
    </row>
    <row r="252" spans="1:52" x14ac:dyDescent="0.2">
      <c r="A252" s="294" t="s">
        <v>263</v>
      </c>
      <c r="C252" s="294" t="s">
        <v>401</v>
      </c>
      <c r="D252" s="294" t="s">
        <v>447</v>
      </c>
      <c r="E252" s="304">
        <v>1380</v>
      </c>
      <c r="F252" s="302">
        <v>1380</v>
      </c>
      <c r="G252" s="302">
        <v>1380</v>
      </c>
      <c r="H252" s="302">
        <v>1380</v>
      </c>
      <c r="I252" s="302">
        <v>1104</v>
      </c>
      <c r="J252" s="302">
        <v>1104</v>
      </c>
      <c r="K252" s="302">
        <v>1080</v>
      </c>
      <c r="L252" s="302">
        <v>780</v>
      </c>
      <c r="M252" s="302">
        <v>780</v>
      </c>
      <c r="N252" s="302">
        <v>600</v>
      </c>
      <c r="O252" s="302">
        <v>600</v>
      </c>
      <c r="P252" s="302"/>
      <c r="Q252" s="302"/>
      <c r="R252" s="302"/>
      <c r="S252" s="302"/>
      <c r="T252" s="302"/>
      <c r="U252" s="302"/>
      <c r="V252" s="302"/>
      <c r="W252" s="302"/>
      <c r="X252" s="302"/>
      <c r="Y252" s="302"/>
      <c r="Z252" s="302"/>
      <c r="AA252" s="302"/>
      <c r="AB252" s="302"/>
      <c r="AC252" s="304">
        <v>9120</v>
      </c>
      <c r="AD252" s="300">
        <v>8400</v>
      </c>
      <c r="AE252" s="300">
        <v>7830</v>
      </c>
      <c r="AF252" s="294">
        <v>6930</v>
      </c>
      <c r="AG252" s="294">
        <v>6931</v>
      </c>
      <c r="AH252" s="294">
        <v>6900</v>
      </c>
      <c r="AI252" s="294">
        <v>6900</v>
      </c>
      <c r="AJ252" s="294">
        <v>6750</v>
      </c>
      <c r="AK252" s="294">
        <v>6750</v>
      </c>
      <c r="AL252" s="294">
        <v>6630</v>
      </c>
      <c r="AM252" s="294">
        <v>5790</v>
      </c>
      <c r="AZ252" s="312"/>
    </row>
    <row r="253" spans="1:52" x14ac:dyDescent="0.2">
      <c r="A253" s="294" t="s">
        <v>263</v>
      </c>
      <c r="C253" s="294" t="s">
        <v>401</v>
      </c>
      <c r="D253" s="294" t="s">
        <v>446</v>
      </c>
      <c r="E253" s="304">
        <v>1380</v>
      </c>
      <c r="F253" s="302">
        <v>1380</v>
      </c>
      <c r="G253" s="302">
        <v>1380</v>
      </c>
      <c r="H253" s="302">
        <v>1380</v>
      </c>
      <c r="I253" s="302">
        <v>1104</v>
      </c>
      <c r="J253" s="302">
        <v>1104</v>
      </c>
      <c r="K253" s="302">
        <v>1080</v>
      </c>
      <c r="L253" s="302">
        <v>780</v>
      </c>
      <c r="M253" s="302">
        <v>780</v>
      </c>
      <c r="N253" s="302">
        <v>600</v>
      </c>
      <c r="O253" s="302">
        <v>600</v>
      </c>
      <c r="P253" s="302"/>
      <c r="Q253" s="302"/>
      <c r="R253" s="302"/>
      <c r="S253" s="302"/>
      <c r="T253" s="302"/>
      <c r="U253" s="302"/>
      <c r="V253" s="302"/>
      <c r="W253" s="302"/>
      <c r="X253" s="302"/>
      <c r="Y253" s="302"/>
      <c r="Z253" s="302"/>
      <c r="AA253" s="302"/>
      <c r="AB253" s="302"/>
      <c r="AC253" s="304">
        <v>9120</v>
      </c>
      <c r="AD253" s="300">
        <v>8400</v>
      </c>
      <c r="AE253" s="300">
        <v>8250</v>
      </c>
      <c r="AF253" s="294">
        <v>7290</v>
      </c>
      <c r="AG253" s="294">
        <v>7440</v>
      </c>
      <c r="AH253" s="294">
        <v>6900</v>
      </c>
      <c r="AI253" s="294">
        <v>6900</v>
      </c>
      <c r="AJ253" s="294">
        <v>7020</v>
      </c>
      <c r="AK253" s="294">
        <v>6480</v>
      </c>
      <c r="AL253" s="294">
        <v>6630</v>
      </c>
      <c r="AM253" s="294">
        <v>5790</v>
      </c>
      <c r="AZ253" s="312"/>
    </row>
    <row r="254" spans="1:52" x14ac:dyDescent="0.2">
      <c r="A254" s="294" t="s">
        <v>263</v>
      </c>
      <c r="C254" s="294" t="s">
        <v>401</v>
      </c>
      <c r="D254" s="294" t="s">
        <v>445</v>
      </c>
      <c r="E254" s="304">
        <v>1380</v>
      </c>
      <c r="F254" s="302">
        <v>1380</v>
      </c>
      <c r="G254" s="302">
        <v>1380</v>
      </c>
      <c r="H254" s="302">
        <v>1380</v>
      </c>
      <c r="I254" s="302">
        <v>1104</v>
      </c>
      <c r="J254" s="302">
        <v>1104</v>
      </c>
      <c r="K254" s="302">
        <v>1080</v>
      </c>
      <c r="L254" s="302">
        <v>780</v>
      </c>
      <c r="M254" s="302">
        <v>780</v>
      </c>
      <c r="N254" s="302">
        <v>600</v>
      </c>
      <c r="O254" s="302">
        <v>600</v>
      </c>
      <c r="P254" s="302"/>
      <c r="Q254" s="302"/>
      <c r="R254" s="302"/>
      <c r="S254" s="302"/>
      <c r="T254" s="302"/>
      <c r="U254" s="302"/>
      <c r="V254" s="302"/>
      <c r="W254" s="302"/>
      <c r="X254" s="302"/>
      <c r="Y254" s="302"/>
      <c r="Z254" s="302"/>
      <c r="AA254" s="302"/>
      <c r="AB254" s="302"/>
      <c r="AC254" s="304">
        <v>9120</v>
      </c>
      <c r="AD254" s="300">
        <v>8400</v>
      </c>
      <c r="AE254" s="300">
        <v>7710</v>
      </c>
      <c r="AF254" s="294">
        <v>6780</v>
      </c>
      <c r="AG254" s="294">
        <v>6300</v>
      </c>
      <c r="AH254" s="294">
        <v>6150</v>
      </c>
      <c r="AI254" s="294">
        <v>6060</v>
      </c>
      <c r="AJ254" s="294">
        <v>6270</v>
      </c>
      <c r="AK254" s="294">
        <v>6480</v>
      </c>
      <c r="AL254" s="294">
        <v>6630</v>
      </c>
      <c r="AM254" s="294">
        <v>5790</v>
      </c>
      <c r="AZ254" s="312"/>
    </row>
    <row r="255" spans="1:52" x14ac:dyDescent="0.2">
      <c r="A255" s="294" t="s">
        <v>263</v>
      </c>
      <c r="C255" s="294" t="s">
        <v>401</v>
      </c>
      <c r="D255" s="294" t="s">
        <v>444</v>
      </c>
      <c r="E255" s="304">
        <v>1380</v>
      </c>
      <c r="F255" s="302">
        <v>1380</v>
      </c>
      <c r="G255" s="302">
        <v>1380</v>
      </c>
      <c r="H255" s="302">
        <v>1380</v>
      </c>
      <c r="I255" s="302">
        <v>1104</v>
      </c>
      <c r="J255" s="302">
        <v>1104</v>
      </c>
      <c r="K255" s="302">
        <v>1080</v>
      </c>
      <c r="L255" s="302">
        <v>780</v>
      </c>
      <c r="M255" s="302">
        <v>780</v>
      </c>
      <c r="N255" s="302">
        <v>600</v>
      </c>
      <c r="O255" s="302">
        <v>600</v>
      </c>
      <c r="P255" s="302"/>
      <c r="Q255" s="302"/>
      <c r="R255" s="302"/>
      <c r="S255" s="302"/>
      <c r="T255" s="302"/>
      <c r="U255" s="302"/>
      <c r="V255" s="302"/>
      <c r="W255" s="302"/>
      <c r="X255" s="302"/>
      <c r="Y255" s="302"/>
      <c r="Z255" s="302"/>
      <c r="AA255" s="302"/>
      <c r="AB255" s="302"/>
      <c r="AC255" s="304">
        <v>9180</v>
      </c>
      <c r="AD255" s="300">
        <v>9180</v>
      </c>
      <c r="AE255" s="300">
        <v>8850</v>
      </c>
      <c r="AF255" s="294">
        <v>8250</v>
      </c>
      <c r="AG255" s="294">
        <v>6494</v>
      </c>
      <c r="AH255" s="294">
        <v>8294</v>
      </c>
      <c r="AI255" s="294">
        <v>6074</v>
      </c>
      <c r="AJ255" s="294">
        <v>6270</v>
      </c>
      <c r="AK255" s="294">
        <v>6450</v>
      </c>
      <c r="AL255" s="294">
        <v>6630</v>
      </c>
      <c r="AM255" s="294">
        <v>5850</v>
      </c>
      <c r="AZ255" s="312"/>
    </row>
    <row r="256" spans="1:52" x14ac:dyDescent="0.2">
      <c r="A256" s="294" t="s">
        <v>263</v>
      </c>
      <c r="C256" s="294" t="s">
        <v>401</v>
      </c>
      <c r="D256" s="294" t="s">
        <v>443</v>
      </c>
      <c r="E256" s="304">
        <v>1380</v>
      </c>
      <c r="F256" s="302">
        <v>1380</v>
      </c>
      <c r="G256" s="302">
        <v>1380</v>
      </c>
      <c r="H256" s="302">
        <v>1380</v>
      </c>
      <c r="I256" s="302">
        <v>1104</v>
      </c>
      <c r="J256" s="302">
        <v>1104</v>
      </c>
      <c r="K256" s="302">
        <v>1080</v>
      </c>
      <c r="L256" s="302">
        <v>780</v>
      </c>
      <c r="M256" s="302">
        <v>780</v>
      </c>
      <c r="N256" s="302">
        <v>600</v>
      </c>
      <c r="O256" s="302">
        <v>600</v>
      </c>
      <c r="P256" s="302"/>
      <c r="Q256" s="302"/>
      <c r="R256" s="302"/>
      <c r="S256" s="302"/>
      <c r="T256" s="302"/>
      <c r="U256" s="302"/>
      <c r="V256" s="302"/>
      <c r="W256" s="302"/>
      <c r="X256" s="302"/>
      <c r="Y256" s="302"/>
      <c r="Z256" s="302"/>
      <c r="AA256" s="302"/>
      <c r="AB256" s="302"/>
      <c r="AC256" s="304">
        <v>10020</v>
      </c>
      <c r="AD256" s="300">
        <v>9300</v>
      </c>
      <c r="AE256" s="300">
        <v>8610</v>
      </c>
      <c r="AF256" s="294">
        <v>7590</v>
      </c>
      <c r="AG256" s="294">
        <v>6324</v>
      </c>
      <c r="AH256" s="294">
        <v>6333</v>
      </c>
      <c r="AI256" s="294">
        <v>6301</v>
      </c>
      <c r="AJ256" s="294">
        <v>6270</v>
      </c>
      <c r="AK256" s="294">
        <v>6480</v>
      </c>
      <c r="AL256" s="294">
        <v>6630</v>
      </c>
      <c r="AM256" s="294">
        <v>5790</v>
      </c>
      <c r="AZ256" s="312"/>
    </row>
    <row r="257" spans="1:52" x14ac:dyDescent="0.2">
      <c r="A257" s="294" t="s">
        <v>263</v>
      </c>
      <c r="C257" s="294" t="s">
        <v>401</v>
      </c>
      <c r="D257" s="294" t="s">
        <v>442</v>
      </c>
      <c r="E257" s="304">
        <v>1380</v>
      </c>
      <c r="F257" s="302">
        <v>1380</v>
      </c>
      <c r="G257" s="302">
        <v>1380</v>
      </c>
      <c r="H257" s="302">
        <v>1380</v>
      </c>
      <c r="I257" s="302">
        <v>1104</v>
      </c>
      <c r="J257" s="302">
        <v>1104</v>
      </c>
      <c r="K257" s="302">
        <v>1080</v>
      </c>
      <c r="L257" s="302">
        <v>780</v>
      </c>
      <c r="M257" s="302">
        <v>780</v>
      </c>
      <c r="N257" s="302">
        <v>600</v>
      </c>
      <c r="O257" s="302">
        <v>600</v>
      </c>
      <c r="P257" s="302"/>
      <c r="Q257" s="302"/>
      <c r="R257" s="302"/>
      <c r="S257" s="302"/>
      <c r="T257" s="302"/>
      <c r="U257" s="302"/>
      <c r="V257" s="302"/>
      <c r="W257" s="302"/>
      <c r="X257" s="302"/>
      <c r="Y257" s="302"/>
      <c r="Z257" s="302"/>
      <c r="AA257" s="302"/>
      <c r="AB257" s="302"/>
      <c r="AC257" s="304">
        <v>10020</v>
      </c>
      <c r="AD257" s="300">
        <v>8940</v>
      </c>
      <c r="AE257" s="300">
        <v>8250</v>
      </c>
      <c r="AF257" s="294">
        <v>7110</v>
      </c>
      <c r="AG257" s="294">
        <v>6317</v>
      </c>
      <c r="AH257" s="294">
        <v>6167</v>
      </c>
      <c r="AI257" s="294">
        <v>6069</v>
      </c>
      <c r="AJ257" s="294">
        <v>6270</v>
      </c>
      <c r="AK257" s="294">
        <v>6210</v>
      </c>
      <c r="AL257" s="294">
        <v>6630</v>
      </c>
      <c r="AM257" s="294">
        <v>5790</v>
      </c>
      <c r="AZ257" s="312"/>
    </row>
    <row r="258" spans="1:52" x14ac:dyDescent="0.2">
      <c r="A258" s="294" t="s">
        <v>263</v>
      </c>
      <c r="C258" s="294" t="s">
        <v>401</v>
      </c>
      <c r="D258" s="294" t="s">
        <v>441</v>
      </c>
      <c r="E258" s="304">
        <v>1380</v>
      </c>
      <c r="F258" s="302">
        <v>1380</v>
      </c>
      <c r="G258" s="302">
        <v>1380</v>
      </c>
      <c r="H258" s="302">
        <v>1380</v>
      </c>
      <c r="I258" s="302">
        <v>1104</v>
      </c>
      <c r="J258" s="302">
        <v>1104</v>
      </c>
      <c r="K258" s="302">
        <v>1080</v>
      </c>
      <c r="L258" s="302">
        <v>780</v>
      </c>
      <c r="M258" s="302">
        <v>780</v>
      </c>
      <c r="N258" s="302">
        <v>600</v>
      </c>
      <c r="O258" s="302">
        <v>600</v>
      </c>
      <c r="P258" s="302"/>
      <c r="Q258" s="302"/>
      <c r="R258" s="302"/>
      <c r="S258" s="302"/>
      <c r="T258" s="302"/>
      <c r="U258" s="302"/>
      <c r="V258" s="302"/>
      <c r="W258" s="302"/>
      <c r="X258" s="302"/>
      <c r="Y258" s="302"/>
      <c r="Z258" s="302"/>
      <c r="AA258" s="302"/>
      <c r="AB258" s="302"/>
      <c r="AC258" s="304">
        <v>9210</v>
      </c>
      <c r="AD258" s="300">
        <v>8490</v>
      </c>
      <c r="AE258" s="300">
        <v>7740</v>
      </c>
      <c r="AF258" s="294">
        <v>6810</v>
      </c>
      <c r="AG258" s="294">
        <v>6483</v>
      </c>
      <c r="AH258" s="294">
        <v>6490</v>
      </c>
      <c r="AI258" s="294">
        <v>6580</v>
      </c>
      <c r="AJ258" s="294">
        <v>6270</v>
      </c>
      <c r="AK258" s="294">
        <v>6480</v>
      </c>
      <c r="AL258" s="294">
        <v>6630</v>
      </c>
      <c r="AM258" s="294">
        <v>5790</v>
      </c>
      <c r="AZ258" s="312"/>
    </row>
    <row r="259" spans="1:52" x14ac:dyDescent="0.2">
      <c r="A259" s="294" t="s">
        <v>263</v>
      </c>
      <c r="C259" s="294" t="s">
        <v>401</v>
      </c>
      <c r="D259" s="294" t="s">
        <v>440</v>
      </c>
      <c r="E259" s="304">
        <v>1380</v>
      </c>
      <c r="F259" s="302">
        <v>1380</v>
      </c>
      <c r="G259" s="302">
        <v>1380</v>
      </c>
      <c r="H259" s="302">
        <v>1380</v>
      </c>
      <c r="I259" s="302">
        <v>1104</v>
      </c>
      <c r="J259" s="302">
        <v>1104</v>
      </c>
      <c r="K259" s="302">
        <v>1080</v>
      </c>
      <c r="L259" s="302">
        <v>780</v>
      </c>
      <c r="M259" s="302">
        <v>780</v>
      </c>
      <c r="N259" s="302">
        <v>600</v>
      </c>
      <c r="O259" s="302">
        <v>600</v>
      </c>
      <c r="P259" s="302"/>
      <c r="Q259" s="302"/>
      <c r="R259" s="302"/>
      <c r="S259" s="302"/>
      <c r="T259" s="302"/>
      <c r="U259" s="302"/>
      <c r="V259" s="302"/>
      <c r="W259" s="302"/>
      <c r="X259" s="302"/>
      <c r="Y259" s="302"/>
      <c r="Z259" s="302"/>
      <c r="AA259" s="302"/>
      <c r="AB259" s="302"/>
      <c r="AC259" s="304">
        <v>8310</v>
      </c>
      <c r="AD259" s="300">
        <v>8340</v>
      </c>
      <c r="AE259" s="300">
        <v>8340</v>
      </c>
      <c r="AF259" s="294">
        <v>7740</v>
      </c>
      <c r="AG259" s="294">
        <v>7022</v>
      </c>
      <c r="AH259" s="294">
        <v>6885</v>
      </c>
      <c r="AI259" s="294">
        <v>6880</v>
      </c>
      <c r="AJ259" s="294">
        <v>6750</v>
      </c>
      <c r="AK259" s="294">
        <v>6480</v>
      </c>
      <c r="AL259" s="294">
        <v>6630</v>
      </c>
      <c r="AM259" s="294">
        <v>5790</v>
      </c>
      <c r="AZ259" s="312"/>
    </row>
    <row r="260" spans="1:52" x14ac:dyDescent="0.2">
      <c r="A260" s="294" t="s">
        <v>263</v>
      </c>
      <c r="C260" s="294" t="s">
        <v>401</v>
      </c>
      <c r="D260" s="294" t="s">
        <v>439</v>
      </c>
      <c r="E260" s="304">
        <v>1380</v>
      </c>
      <c r="F260" s="302">
        <v>1380</v>
      </c>
      <c r="G260" s="302">
        <v>1380</v>
      </c>
      <c r="H260" s="302">
        <v>1380</v>
      </c>
      <c r="I260" s="302">
        <v>1104</v>
      </c>
      <c r="J260" s="302">
        <v>1104</v>
      </c>
      <c r="K260" s="302">
        <v>1080</v>
      </c>
      <c r="L260" s="302">
        <v>780</v>
      </c>
      <c r="M260" s="302">
        <v>780</v>
      </c>
      <c r="N260" s="302">
        <v>600</v>
      </c>
      <c r="O260" s="302">
        <v>600</v>
      </c>
      <c r="P260" s="302"/>
      <c r="Q260" s="302"/>
      <c r="R260" s="302"/>
      <c r="S260" s="302"/>
      <c r="T260" s="302"/>
      <c r="U260" s="302"/>
      <c r="V260" s="302"/>
      <c r="W260" s="302"/>
      <c r="X260" s="302"/>
      <c r="Y260" s="302"/>
      <c r="Z260" s="302"/>
      <c r="AA260" s="302"/>
      <c r="AB260" s="302"/>
      <c r="AC260" s="304">
        <v>9480</v>
      </c>
      <c r="AD260" s="300">
        <v>9510</v>
      </c>
      <c r="AE260" s="300">
        <v>9060</v>
      </c>
      <c r="AF260" s="294">
        <v>7710</v>
      </c>
      <c r="AG260" s="294">
        <v>6515</v>
      </c>
      <c r="AH260" s="294">
        <v>6185</v>
      </c>
      <c r="AI260" s="294">
        <v>6167</v>
      </c>
      <c r="AJ260" s="294">
        <v>6270</v>
      </c>
      <c r="AK260" s="294">
        <v>6480</v>
      </c>
      <c r="AL260" s="294">
        <v>6630</v>
      </c>
      <c r="AM260" s="294">
        <v>5790</v>
      </c>
      <c r="AZ260" s="312"/>
    </row>
    <row r="261" spans="1:52" x14ac:dyDescent="0.2">
      <c r="A261" s="294" t="s">
        <v>263</v>
      </c>
      <c r="C261" s="294" t="s">
        <v>401</v>
      </c>
      <c r="D261" s="294" t="s">
        <v>438</v>
      </c>
      <c r="E261" s="304">
        <v>1380</v>
      </c>
      <c r="F261" s="302">
        <v>1380</v>
      </c>
      <c r="G261" s="302">
        <v>1380</v>
      </c>
      <c r="H261" s="302">
        <v>1380</v>
      </c>
      <c r="I261" s="302">
        <v>1104</v>
      </c>
      <c r="J261" s="302">
        <v>1104</v>
      </c>
      <c r="K261" s="302">
        <v>1080</v>
      </c>
      <c r="L261" s="302">
        <v>780</v>
      </c>
      <c r="M261" s="302">
        <v>780</v>
      </c>
      <c r="N261" s="302">
        <v>600</v>
      </c>
      <c r="O261" s="302">
        <v>600</v>
      </c>
      <c r="P261" s="302"/>
      <c r="Q261" s="302"/>
      <c r="R261" s="302"/>
      <c r="S261" s="302"/>
      <c r="T261" s="302"/>
      <c r="U261" s="302"/>
      <c r="V261" s="302"/>
      <c r="W261" s="302"/>
      <c r="X261" s="302"/>
      <c r="Y261" s="302"/>
      <c r="Z261" s="302"/>
      <c r="AA261" s="302"/>
      <c r="AB261" s="302"/>
      <c r="AC261" s="304">
        <v>9180</v>
      </c>
      <c r="AD261" s="300">
        <v>9180</v>
      </c>
      <c r="AE261" s="300">
        <v>8850</v>
      </c>
      <c r="AF261" s="294">
        <v>8250</v>
      </c>
      <c r="AG261" s="294">
        <v>6494</v>
      </c>
      <c r="AH261" s="294">
        <v>8294</v>
      </c>
      <c r="AI261" s="294">
        <v>6074</v>
      </c>
      <c r="AJ261" s="294">
        <v>6270</v>
      </c>
      <c r="AK261" s="294">
        <v>6450</v>
      </c>
      <c r="AL261" s="294">
        <v>6630</v>
      </c>
      <c r="AM261" s="294">
        <v>5850</v>
      </c>
      <c r="AZ261" s="312"/>
    </row>
    <row r="262" spans="1:52" x14ac:dyDescent="0.2">
      <c r="A262" s="294" t="s">
        <v>263</v>
      </c>
      <c r="C262" s="294" t="s">
        <v>401</v>
      </c>
      <c r="D262" s="294" t="s">
        <v>437</v>
      </c>
      <c r="E262" s="304">
        <v>1380</v>
      </c>
      <c r="F262" s="302">
        <v>1380</v>
      </c>
      <c r="G262" s="302">
        <v>1380</v>
      </c>
      <c r="H262" s="302">
        <v>1380</v>
      </c>
      <c r="I262" s="302">
        <v>1104</v>
      </c>
      <c r="J262" s="302">
        <v>1104</v>
      </c>
      <c r="K262" s="302">
        <v>1080</v>
      </c>
      <c r="L262" s="302">
        <v>780</v>
      </c>
      <c r="M262" s="302">
        <v>780</v>
      </c>
      <c r="N262" s="302">
        <v>600</v>
      </c>
      <c r="O262" s="302">
        <v>600</v>
      </c>
      <c r="P262" s="302"/>
      <c r="Q262" s="302"/>
      <c r="R262" s="302"/>
      <c r="S262" s="302"/>
      <c r="T262" s="302"/>
      <c r="U262" s="302"/>
      <c r="V262" s="302"/>
      <c r="W262" s="302"/>
      <c r="X262" s="302"/>
      <c r="Y262" s="302"/>
      <c r="Z262" s="302"/>
      <c r="AA262" s="302"/>
      <c r="AB262" s="302"/>
      <c r="AC262" s="304">
        <v>9270</v>
      </c>
      <c r="AD262" s="300">
        <v>8550</v>
      </c>
      <c r="AE262" s="300">
        <v>8340</v>
      </c>
      <c r="AF262" s="294">
        <v>6930</v>
      </c>
      <c r="AG262" s="294">
        <v>6480</v>
      </c>
      <c r="AH262" s="294">
        <v>6329</v>
      </c>
      <c r="AI262" s="294">
        <v>6060</v>
      </c>
      <c r="AJ262" s="294">
        <v>6270</v>
      </c>
      <c r="AK262" s="294">
        <v>6480</v>
      </c>
      <c r="AL262" s="294">
        <v>6630</v>
      </c>
      <c r="AM262" s="294">
        <v>5790</v>
      </c>
      <c r="AZ262" s="312"/>
    </row>
    <row r="263" spans="1:52" x14ac:dyDescent="0.2">
      <c r="A263" s="294" t="s">
        <v>263</v>
      </c>
      <c r="C263" s="294" t="s">
        <v>401</v>
      </c>
      <c r="D263" s="294" t="s">
        <v>436</v>
      </c>
      <c r="E263" s="304">
        <v>1380</v>
      </c>
      <c r="F263" s="302">
        <v>1380</v>
      </c>
      <c r="G263" s="302">
        <v>1380</v>
      </c>
      <c r="H263" s="302">
        <v>1380</v>
      </c>
      <c r="I263" s="302">
        <v>1104</v>
      </c>
      <c r="J263" s="302">
        <v>1104</v>
      </c>
      <c r="K263" s="302">
        <v>1080</v>
      </c>
      <c r="L263" s="302">
        <v>780</v>
      </c>
      <c r="M263" s="302">
        <v>780</v>
      </c>
      <c r="N263" s="302">
        <v>600</v>
      </c>
      <c r="O263" s="302">
        <v>600</v>
      </c>
      <c r="P263" s="302"/>
      <c r="Q263" s="302"/>
      <c r="R263" s="302"/>
      <c r="S263" s="302"/>
      <c r="T263" s="302"/>
      <c r="U263" s="302"/>
      <c r="V263" s="302"/>
      <c r="W263" s="302"/>
      <c r="X263" s="302"/>
      <c r="Y263" s="302"/>
      <c r="Z263" s="302"/>
      <c r="AA263" s="302"/>
      <c r="AB263" s="302"/>
      <c r="AC263" s="304">
        <v>9120</v>
      </c>
      <c r="AD263" s="300">
        <v>8400</v>
      </c>
      <c r="AE263" s="300">
        <v>7860</v>
      </c>
      <c r="AF263" s="294">
        <v>7740</v>
      </c>
      <c r="AG263" s="294">
        <v>6484</v>
      </c>
      <c r="AH263" s="294">
        <v>6153</v>
      </c>
      <c r="AI263" s="294">
        <v>6064</v>
      </c>
      <c r="AJ263" s="294">
        <v>6330</v>
      </c>
      <c r="AK263" s="294">
        <v>6480</v>
      </c>
      <c r="AL263" s="294">
        <v>6570</v>
      </c>
      <c r="AM263" s="294">
        <v>5490</v>
      </c>
      <c r="AZ263" s="312"/>
    </row>
    <row r="264" spans="1:52" x14ac:dyDescent="0.2">
      <c r="A264" s="294" t="s">
        <v>263</v>
      </c>
      <c r="C264" s="294" t="s">
        <v>401</v>
      </c>
      <c r="D264" s="294" t="s">
        <v>435</v>
      </c>
      <c r="E264" s="304">
        <v>1380</v>
      </c>
      <c r="F264" s="302">
        <v>1380</v>
      </c>
      <c r="G264" s="302">
        <v>1380</v>
      </c>
      <c r="H264" s="302">
        <v>1380</v>
      </c>
      <c r="I264" s="302">
        <v>1104</v>
      </c>
      <c r="J264" s="302">
        <v>1104</v>
      </c>
      <c r="K264" s="302">
        <v>1080</v>
      </c>
      <c r="L264" s="302">
        <v>780</v>
      </c>
      <c r="M264" s="302">
        <v>780</v>
      </c>
      <c r="N264" s="302">
        <v>600</v>
      </c>
      <c r="O264" s="302">
        <v>600</v>
      </c>
      <c r="P264" s="302"/>
      <c r="Q264" s="302"/>
      <c r="R264" s="302"/>
      <c r="S264" s="302"/>
      <c r="T264" s="302"/>
      <c r="U264" s="302"/>
      <c r="V264" s="302"/>
      <c r="W264" s="302"/>
      <c r="X264" s="302"/>
      <c r="Y264" s="302"/>
      <c r="Z264" s="302"/>
      <c r="AA264" s="302"/>
      <c r="AB264" s="302"/>
      <c r="AC264" s="304">
        <v>9360</v>
      </c>
      <c r="AD264" s="300">
        <v>8790</v>
      </c>
      <c r="AE264" s="300">
        <v>8100</v>
      </c>
      <c r="AF264" s="294">
        <v>7680</v>
      </c>
      <c r="AG264" s="294">
        <v>6605</v>
      </c>
      <c r="AH264" s="294">
        <v>7001</v>
      </c>
      <c r="AI264" s="294">
        <v>6856</v>
      </c>
      <c r="AJ264" s="294">
        <v>6270</v>
      </c>
      <c r="AK264" s="294">
        <v>6480</v>
      </c>
      <c r="AL264" s="294">
        <v>6630</v>
      </c>
      <c r="AM264" s="294">
        <v>5790</v>
      </c>
      <c r="AZ264" s="312"/>
    </row>
    <row r="265" spans="1:52" x14ac:dyDescent="0.2">
      <c r="A265" s="294" t="s">
        <v>263</v>
      </c>
      <c r="C265" s="294" t="s">
        <v>401</v>
      </c>
      <c r="D265" s="294" t="s">
        <v>434</v>
      </c>
      <c r="E265" s="304">
        <v>1380</v>
      </c>
      <c r="F265" s="302">
        <v>1380</v>
      </c>
      <c r="G265" s="302">
        <v>1380</v>
      </c>
      <c r="H265" s="302">
        <v>1380</v>
      </c>
      <c r="I265" s="302">
        <v>1104</v>
      </c>
      <c r="J265" s="302">
        <v>1104</v>
      </c>
      <c r="K265" s="302">
        <v>1080</v>
      </c>
      <c r="L265" s="302">
        <v>780</v>
      </c>
      <c r="M265" s="302">
        <v>780</v>
      </c>
      <c r="N265" s="302">
        <v>600</v>
      </c>
      <c r="O265" s="302">
        <v>600</v>
      </c>
      <c r="P265" s="302"/>
      <c r="Q265" s="302"/>
      <c r="R265" s="302"/>
      <c r="S265" s="302"/>
      <c r="T265" s="302"/>
      <c r="U265" s="302"/>
      <c r="V265" s="302"/>
      <c r="W265" s="302"/>
      <c r="X265" s="302"/>
      <c r="Y265" s="302"/>
      <c r="Z265" s="302"/>
      <c r="AA265" s="302"/>
      <c r="AB265" s="302"/>
      <c r="AC265" s="304">
        <v>7800</v>
      </c>
      <c r="AD265" s="300">
        <v>8400</v>
      </c>
      <c r="AE265" s="300">
        <v>8340</v>
      </c>
      <c r="AF265" s="294">
        <v>6990</v>
      </c>
      <c r="AG265" s="294">
        <v>6639</v>
      </c>
      <c r="AH265" s="294">
        <v>6509</v>
      </c>
      <c r="AI265" s="294">
        <v>6000</v>
      </c>
      <c r="AJ265" s="294">
        <v>6300</v>
      </c>
      <c r="AK265" s="294">
        <v>6480</v>
      </c>
      <c r="AL265" s="294">
        <v>7110</v>
      </c>
      <c r="AM265" s="294">
        <v>6300</v>
      </c>
      <c r="AZ265" s="312"/>
    </row>
    <row r="266" spans="1:52" x14ac:dyDescent="0.2">
      <c r="A266" s="294" t="s">
        <v>263</v>
      </c>
      <c r="C266" s="294" t="s">
        <v>401</v>
      </c>
      <c r="D266" s="294" t="s">
        <v>433</v>
      </c>
      <c r="E266" s="304">
        <v>1380</v>
      </c>
      <c r="F266" s="302">
        <v>1380</v>
      </c>
      <c r="G266" s="302">
        <v>1380</v>
      </c>
      <c r="H266" s="302">
        <v>1380</v>
      </c>
      <c r="I266" s="302">
        <v>1104</v>
      </c>
      <c r="J266" s="302">
        <v>1104</v>
      </c>
      <c r="K266" s="302">
        <v>1080</v>
      </c>
      <c r="L266" s="302">
        <v>780</v>
      </c>
      <c r="M266" s="302">
        <v>780</v>
      </c>
      <c r="N266" s="302">
        <v>600</v>
      </c>
      <c r="O266" s="302">
        <v>600</v>
      </c>
      <c r="P266" s="302"/>
      <c r="Q266" s="302"/>
      <c r="R266" s="302"/>
      <c r="S266" s="302"/>
      <c r="T266" s="302"/>
      <c r="U266" s="302"/>
      <c r="V266" s="302"/>
      <c r="W266" s="302"/>
      <c r="X266" s="302"/>
      <c r="Y266" s="302"/>
      <c r="Z266" s="302"/>
      <c r="AA266" s="302"/>
      <c r="AB266" s="302"/>
      <c r="AC266" s="304">
        <v>10560</v>
      </c>
      <c r="AD266" s="300">
        <v>8430</v>
      </c>
      <c r="AE266" s="300">
        <v>7740</v>
      </c>
      <c r="AF266" s="294">
        <v>6960</v>
      </c>
      <c r="AG266" s="294">
        <v>6484</v>
      </c>
      <c r="AH266" s="294">
        <v>7654</v>
      </c>
      <c r="AI266" s="294">
        <v>7650</v>
      </c>
      <c r="AJ266" s="294">
        <v>7260</v>
      </c>
      <c r="AK266" s="294">
        <v>7560</v>
      </c>
      <c r="AL266" s="294">
        <v>8370</v>
      </c>
      <c r="AM266" s="294">
        <v>7080</v>
      </c>
      <c r="AZ266" s="312"/>
    </row>
    <row r="267" spans="1:52" x14ac:dyDescent="0.2">
      <c r="A267" s="294" t="s">
        <v>263</v>
      </c>
      <c r="C267" s="294" t="s">
        <v>401</v>
      </c>
      <c r="D267" s="294" t="s">
        <v>432</v>
      </c>
      <c r="E267" s="304">
        <v>1380</v>
      </c>
      <c r="F267" s="302">
        <v>1380</v>
      </c>
      <c r="G267" s="302">
        <v>1380</v>
      </c>
      <c r="H267" s="302">
        <v>1380</v>
      </c>
      <c r="I267" s="302">
        <v>1104</v>
      </c>
      <c r="J267" s="302">
        <v>1104</v>
      </c>
      <c r="K267" s="302">
        <v>1080</v>
      </c>
      <c r="L267" s="302">
        <v>780</v>
      </c>
      <c r="M267" s="302">
        <v>780</v>
      </c>
      <c r="N267" s="302">
        <v>600</v>
      </c>
      <c r="O267" s="302">
        <v>600</v>
      </c>
      <c r="P267" s="302"/>
      <c r="Q267" s="302"/>
      <c r="R267" s="302"/>
      <c r="S267" s="302"/>
      <c r="T267" s="302"/>
      <c r="U267" s="302"/>
      <c r="V267" s="302"/>
      <c r="W267" s="302"/>
      <c r="X267" s="302"/>
      <c r="Y267" s="302"/>
      <c r="Z267" s="302"/>
      <c r="AA267" s="302"/>
      <c r="AB267" s="302"/>
      <c r="AC267" s="304">
        <v>9120</v>
      </c>
      <c r="AD267" s="300">
        <v>8400</v>
      </c>
      <c r="AE267" s="300">
        <v>8430</v>
      </c>
      <c r="AF267" s="294">
        <v>7830</v>
      </c>
      <c r="AG267" s="294">
        <v>7337</v>
      </c>
      <c r="AH267" s="294">
        <v>7453</v>
      </c>
      <c r="AI267" s="294">
        <v>6099</v>
      </c>
      <c r="AJ267" s="294">
        <v>6270</v>
      </c>
      <c r="AK267" s="294">
        <v>6480</v>
      </c>
      <c r="AL267" s="294">
        <v>6630</v>
      </c>
      <c r="AM267" s="294">
        <v>5790</v>
      </c>
      <c r="AZ267" s="312"/>
    </row>
    <row r="268" spans="1:52" x14ac:dyDescent="0.2">
      <c r="A268" s="294" t="s">
        <v>263</v>
      </c>
      <c r="C268" s="294" t="s">
        <v>401</v>
      </c>
      <c r="D268" s="294" t="s">
        <v>431</v>
      </c>
      <c r="E268" s="304">
        <v>1380</v>
      </c>
      <c r="F268" s="302">
        <v>1380</v>
      </c>
      <c r="G268" s="302">
        <v>1380</v>
      </c>
      <c r="H268" s="302">
        <v>1380</v>
      </c>
      <c r="I268" s="302">
        <v>1104</v>
      </c>
      <c r="J268" s="302">
        <v>1104</v>
      </c>
      <c r="K268" s="302">
        <v>1080</v>
      </c>
      <c r="L268" s="302">
        <v>780</v>
      </c>
      <c r="M268" s="302">
        <v>780</v>
      </c>
      <c r="N268" s="302">
        <v>600</v>
      </c>
      <c r="O268" s="302">
        <v>600</v>
      </c>
      <c r="P268" s="302"/>
      <c r="Q268" s="302"/>
      <c r="R268" s="302"/>
      <c r="S268" s="302"/>
      <c r="T268" s="302"/>
      <c r="U268" s="302"/>
      <c r="V268" s="302"/>
      <c r="W268" s="302"/>
      <c r="X268" s="302"/>
      <c r="Y268" s="302"/>
      <c r="Z268" s="302"/>
      <c r="AA268" s="302"/>
      <c r="AB268" s="302"/>
      <c r="AC268" s="304">
        <v>8400</v>
      </c>
      <c r="AD268" s="300">
        <v>8400</v>
      </c>
      <c r="AE268" s="300">
        <v>7710</v>
      </c>
      <c r="AF268" s="294">
        <v>6780</v>
      </c>
      <c r="AG268" s="294">
        <v>6480</v>
      </c>
      <c r="AH268" s="294">
        <v>6480</v>
      </c>
      <c r="AI268" s="294">
        <v>6270</v>
      </c>
      <c r="AJ268" s="294">
        <v>6270</v>
      </c>
      <c r="AK268" s="294">
        <v>6270</v>
      </c>
      <c r="AL268" s="294">
        <v>6300</v>
      </c>
      <c r="AM268" s="294">
        <v>5790</v>
      </c>
      <c r="AZ268" s="312"/>
    </row>
    <row r="269" spans="1:52" x14ac:dyDescent="0.2">
      <c r="A269" s="294" t="s">
        <v>263</v>
      </c>
      <c r="C269" s="294" t="s">
        <v>401</v>
      </c>
      <c r="D269" s="294" t="s">
        <v>430</v>
      </c>
      <c r="E269" s="304">
        <v>1380</v>
      </c>
      <c r="F269" s="302">
        <v>1380</v>
      </c>
      <c r="G269" s="302">
        <v>1380</v>
      </c>
      <c r="H269" s="302">
        <v>1380</v>
      </c>
      <c r="I269" s="302">
        <v>1104</v>
      </c>
      <c r="J269" s="302">
        <v>1104</v>
      </c>
      <c r="K269" s="302">
        <v>1080</v>
      </c>
      <c r="L269" s="302">
        <v>780</v>
      </c>
      <c r="M269" s="302">
        <v>780</v>
      </c>
      <c r="N269" s="302">
        <v>600</v>
      </c>
      <c r="O269" s="302">
        <v>600</v>
      </c>
      <c r="P269" s="302"/>
      <c r="Q269" s="302"/>
      <c r="R269" s="302"/>
      <c r="S269" s="302"/>
      <c r="T269" s="302"/>
      <c r="U269" s="302"/>
      <c r="V269" s="302"/>
      <c r="W269" s="302"/>
      <c r="X269" s="302"/>
      <c r="Y269" s="302"/>
      <c r="Z269" s="302"/>
      <c r="AA269" s="302"/>
      <c r="AB269" s="302"/>
      <c r="AC269" s="304">
        <v>9450</v>
      </c>
      <c r="AD269" s="300">
        <v>10410</v>
      </c>
      <c r="AE269" s="300">
        <v>9420</v>
      </c>
      <c r="AF269" s="294">
        <v>7860</v>
      </c>
      <c r="AG269" s="294">
        <v>6304</v>
      </c>
      <c r="AH269" s="294">
        <v>6204</v>
      </c>
      <c r="AI269" s="294">
        <v>6084</v>
      </c>
      <c r="AJ269" s="294">
        <v>6270</v>
      </c>
      <c r="AK269" s="294">
        <v>6480</v>
      </c>
      <c r="AL269" s="294">
        <v>6630</v>
      </c>
      <c r="AM269" s="294">
        <v>5790</v>
      </c>
      <c r="AZ269" s="312"/>
    </row>
    <row r="270" spans="1:52" x14ac:dyDescent="0.2">
      <c r="A270" s="294" t="s">
        <v>263</v>
      </c>
      <c r="C270" s="294" t="s">
        <v>401</v>
      </c>
      <c r="D270" s="294" t="s">
        <v>429</v>
      </c>
      <c r="E270" s="304">
        <v>1380</v>
      </c>
      <c r="F270" s="302">
        <v>1380</v>
      </c>
      <c r="G270" s="302">
        <v>1380</v>
      </c>
      <c r="H270" s="302">
        <v>1380</v>
      </c>
      <c r="I270" s="302">
        <v>1104</v>
      </c>
      <c r="J270" s="302">
        <v>1104</v>
      </c>
      <c r="K270" s="302">
        <v>1080</v>
      </c>
      <c r="L270" s="302">
        <v>780</v>
      </c>
      <c r="M270" s="302">
        <v>780</v>
      </c>
      <c r="N270" s="302">
        <v>600</v>
      </c>
      <c r="O270" s="302">
        <v>600</v>
      </c>
      <c r="P270" s="302"/>
      <c r="Q270" s="302"/>
      <c r="R270" s="302"/>
      <c r="S270" s="302"/>
      <c r="T270" s="302"/>
      <c r="U270" s="302"/>
      <c r="V270" s="302"/>
      <c r="W270" s="302"/>
      <c r="X270" s="302"/>
      <c r="Y270" s="302"/>
      <c r="Z270" s="302"/>
      <c r="AA270" s="302"/>
      <c r="AB270" s="302"/>
      <c r="AC270" s="304">
        <v>9510</v>
      </c>
      <c r="AD270" s="300">
        <v>8880</v>
      </c>
      <c r="AE270" s="300">
        <v>8250</v>
      </c>
      <c r="AF270" s="294">
        <v>7320</v>
      </c>
      <c r="AG270" s="294">
        <v>6498</v>
      </c>
      <c r="AH270" s="294">
        <v>6498</v>
      </c>
      <c r="AI270" s="294">
        <v>6498</v>
      </c>
      <c r="AJ270" s="294">
        <v>6480</v>
      </c>
      <c r="AK270" s="294">
        <v>6480</v>
      </c>
      <c r="AL270" s="294">
        <v>6630</v>
      </c>
      <c r="AM270" s="294">
        <v>5790</v>
      </c>
      <c r="AZ270" s="312"/>
    </row>
    <row r="271" spans="1:52" x14ac:dyDescent="0.2">
      <c r="A271" s="294" t="s">
        <v>263</v>
      </c>
      <c r="C271" s="294" t="s">
        <v>401</v>
      </c>
      <c r="D271" s="294" t="s">
        <v>428</v>
      </c>
      <c r="E271" s="304">
        <v>1380</v>
      </c>
      <c r="F271" s="302">
        <v>1380</v>
      </c>
      <c r="G271" s="302">
        <v>1380</v>
      </c>
      <c r="H271" s="302">
        <v>1380</v>
      </c>
      <c r="I271" s="302">
        <v>1104</v>
      </c>
      <c r="J271" s="302">
        <v>1104</v>
      </c>
      <c r="K271" s="302">
        <v>1080</v>
      </c>
      <c r="L271" s="302">
        <v>780</v>
      </c>
      <c r="M271" s="302">
        <v>780</v>
      </c>
      <c r="N271" s="302">
        <v>600</v>
      </c>
      <c r="O271" s="302">
        <v>600</v>
      </c>
      <c r="P271" s="302"/>
      <c r="Q271" s="302"/>
      <c r="R271" s="302"/>
      <c r="S271" s="302"/>
      <c r="T271" s="302"/>
      <c r="U271" s="302"/>
      <c r="V271" s="302"/>
      <c r="W271" s="302"/>
      <c r="X271" s="302"/>
      <c r="Y271" s="302"/>
      <c r="Z271" s="302"/>
      <c r="AA271" s="302"/>
      <c r="AB271" s="302"/>
      <c r="AC271" s="304">
        <v>9570</v>
      </c>
      <c r="AD271" s="300">
        <v>11280</v>
      </c>
      <c r="AE271" s="300">
        <v>9660</v>
      </c>
      <c r="AF271" s="294">
        <v>7410</v>
      </c>
      <c r="AG271" s="294">
        <v>6305</v>
      </c>
      <c r="AH271" s="294">
        <v>6182</v>
      </c>
      <c r="AI271" s="294">
        <v>6175</v>
      </c>
      <c r="AJ271" s="294">
        <v>6270</v>
      </c>
      <c r="AK271" s="294">
        <v>6480</v>
      </c>
      <c r="AL271" s="294">
        <v>6630</v>
      </c>
      <c r="AM271" s="294">
        <v>5790</v>
      </c>
      <c r="AZ271" s="312"/>
    </row>
    <row r="272" spans="1:52" x14ac:dyDescent="0.2">
      <c r="A272" s="294" t="s">
        <v>263</v>
      </c>
      <c r="C272" s="294" t="s">
        <v>401</v>
      </c>
      <c r="D272" s="294" t="s">
        <v>427</v>
      </c>
      <c r="E272" s="304">
        <v>1380</v>
      </c>
      <c r="F272" s="302">
        <v>1380</v>
      </c>
      <c r="G272" s="302">
        <v>1380</v>
      </c>
      <c r="H272" s="302">
        <v>1380</v>
      </c>
      <c r="I272" s="302">
        <v>1104</v>
      </c>
      <c r="J272" s="302">
        <v>1104</v>
      </c>
      <c r="K272" s="302">
        <v>1080</v>
      </c>
      <c r="L272" s="302">
        <v>780</v>
      </c>
      <c r="M272" s="302">
        <v>780</v>
      </c>
      <c r="N272" s="302">
        <v>600</v>
      </c>
      <c r="O272" s="302">
        <v>600</v>
      </c>
      <c r="P272" s="302"/>
      <c r="Q272" s="302"/>
      <c r="R272" s="302"/>
      <c r="S272" s="302"/>
      <c r="T272" s="302"/>
      <c r="U272" s="302"/>
      <c r="V272" s="302"/>
      <c r="W272" s="302"/>
      <c r="X272" s="302"/>
      <c r="Y272" s="302"/>
      <c r="Z272" s="302"/>
      <c r="AA272" s="302"/>
      <c r="AB272" s="302"/>
      <c r="AC272" s="304">
        <v>10080</v>
      </c>
      <c r="AD272" s="300">
        <v>9360</v>
      </c>
      <c r="AE272" s="300">
        <v>8670</v>
      </c>
      <c r="AF272" s="294">
        <v>6990</v>
      </c>
      <c r="AG272" s="294">
        <v>5794</v>
      </c>
      <c r="AH272" s="294">
        <v>5681</v>
      </c>
      <c r="AI272" s="294">
        <v>6148</v>
      </c>
      <c r="AJ272" s="294">
        <v>6270</v>
      </c>
      <c r="AK272" s="294">
        <v>6600</v>
      </c>
      <c r="AL272" s="294">
        <v>6780</v>
      </c>
      <c r="AM272" s="294">
        <v>5850</v>
      </c>
      <c r="AZ272" s="312"/>
    </row>
    <row r="273" spans="1:52" x14ac:dyDescent="0.2">
      <c r="A273" s="294" t="s">
        <v>263</v>
      </c>
      <c r="C273" s="294" t="s">
        <v>401</v>
      </c>
      <c r="D273" s="294" t="s">
        <v>426</v>
      </c>
      <c r="E273" s="304">
        <v>1380</v>
      </c>
      <c r="F273" s="302">
        <v>1380</v>
      </c>
      <c r="G273" s="302">
        <v>1380</v>
      </c>
      <c r="H273" s="302">
        <v>1380</v>
      </c>
      <c r="I273" s="302">
        <v>1104</v>
      </c>
      <c r="J273" s="302">
        <v>1104</v>
      </c>
      <c r="K273" s="302">
        <v>1080</v>
      </c>
      <c r="L273" s="302">
        <v>780</v>
      </c>
      <c r="M273" s="302">
        <v>780</v>
      </c>
      <c r="N273" s="302">
        <v>600</v>
      </c>
      <c r="O273" s="302">
        <v>600</v>
      </c>
      <c r="P273" s="302"/>
      <c r="Q273" s="302"/>
      <c r="R273" s="302"/>
      <c r="S273" s="302"/>
      <c r="T273" s="302"/>
      <c r="U273" s="302"/>
      <c r="V273" s="302"/>
      <c r="W273" s="302"/>
      <c r="X273" s="302"/>
      <c r="Y273" s="302"/>
      <c r="Z273" s="302"/>
      <c r="AA273" s="302"/>
      <c r="AB273" s="302"/>
      <c r="AC273" s="304">
        <v>8010</v>
      </c>
      <c r="AD273" s="300">
        <v>8010</v>
      </c>
      <c r="AE273" s="300">
        <v>7710</v>
      </c>
      <c r="AF273" s="294">
        <v>6570</v>
      </c>
      <c r="AG273" s="294">
        <v>6480</v>
      </c>
      <c r="AH273" s="294">
        <v>6270</v>
      </c>
      <c r="AI273" s="294">
        <v>6270</v>
      </c>
      <c r="AJ273" s="294">
        <v>6270</v>
      </c>
      <c r="AK273" s="294">
        <v>6480</v>
      </c>
      <c r="AL273" s="294">
        <v>6570</v>
      </c>
      <c r="AM273" s="294">
        <v>5490</v>
      </c>
      <c r="AZ273" s="312"/>
    </row>
    <row r="274" spans="1:52" x14ac:dyDescent="0.2">
      <c r="A274" s="294" t="s">
        <v>263</v>
      </c>
      <c r="C274" s="294" t="s">
        <v>401</v>
      </c>
      <c r="D274" s="294" t="s">
        <v>425</v>
      </c>
      <c r="E274" s="304">
        <v>1380</v>
      </c>
      <c r="F274" s="302">
        <v>1380</v>
      </c>
      <c r="G274" s="302">
        <v>1380</v>
      </c>
      <c r="H274" s="302">
        <v>1380</v>
      </c>
      <c r="I274" s="302">
        <v>1104</v>
      </c>
      <c r="J274" s="302">
        <v>1104</v>
      </c>
      <c r="K274" s="302">
        <v>1080</v>
      </c>
      <c r="L274" s="302">
        <v>780</v>
      </c>
      <c r="M274" s="302">
        <v>780</v>
      </c>
      <c r="N274" s="302">
        <v>600</v>
      </c>
      <c r="O274" s="302">
        <v>600</v>
      </c>
      <c r="P274" s="302"/>
      <c r="Q274" s="302"/>
      <c r="R274" s="302"/>
      <c r="S274" s="302"/>
      <c r="T274" s="302"/>
      <c r="U274" s="302"/>
      <c r="V274" s="302"/>
      <c r="W274" s="302"/>
      <c r="X274" s="302"/>
      <c r="Y274" s="302"/>
      <c r="Z274" s="302"/>
      <c r="AA274" s="302"/>
      <c r="AB274" s="302"/>
      <c r="AC274" s="304">
        <v>8010</v>
      </c>
      <c r="AD274" s="300">
        <v>8010</v>
      </c>
      <c r="AE274" s="300">
        <v>7710</v>
      </c>
      <c r="AF274" s="294">
        <v>6570</v>
      </c>
      <c r="AG274" s="294">
        <v>6480</v>
      </c>
      <c r="AH274" s="294">
        <v>6270</v>
      </c>
      <c r="AI274" s="294">
        <v>6270</v>
      </c>
      <c r="AJ274" s="294">
        <v>6270</v>
      </c>
      <c r="AK274" s="294">
        <v>6480</v>
      </c>
      <c r="AL274" s="294">
        <v>6570</v>
      </c>
      <c r="AM274" s="294">
        <v>5490</v>
      </c>
      <c r="AZ274" s="312"/>
    </row>
    <row r="275" spans="1:52" x14ac:dyDescent="0.2">
      <c r="A275" s="294" t="s">
        <v>263</v>
      </c>
      <c r="C275" s="294" t="s">
        <v>401</v>
      </c>
      <c r="D275" s="294" t="s">
        <v>424</v>
      </c>
      <c r="E275" s="304">
        <v>1380</v>
      </c>
      <c r="F275" s="302">
        <v>1380</v>
      </c>
      <c r="G275" s="302">
        <v>1380</v>
      </c>
      <c r="H275" s="302">
        <v>1380</v>
      </c>
      <c r="I275" s="302">
        <v>1104</v>
      </c>
      <c r="J275" s="302">
        <v>1104</v>
      </c>
      <c r="K275" s="302">
        <v>1080</v>
      </c>
      <c r="L275" s="302">
        <v>780</v>
      </c>
      <c r="M275" s="302">
        <v>780</v>
      </c>
      <c r="N275" s="302">
        <v>600</v>
      </c>
      <c r="O275" s="302">
        <v>600</v>
      </c>
      <c r="P275" s="302"/>
      <c r="Q275" s="302"/>
      <c r="R275" s="302"/>
      <c r="S275" s="302"/>
      <c r="T275" s="302"/>
      <c r="U275" s="302"/>
      <c r="V275" s="302"/>
      <c r="W275" s="302"/>
      <c r="X275" s="302"/>
      <c r="Y275" s="302"/>
      <c r="Z275" s="302"/>
      <c r="AA275" s="302"/>
      <c r="AB275" s="302"/>
      <c r="AC275" s="304">
        <v>8010</v>
      </c>
      <c r="AD275" s="300">
        <v>8010</v>
      </c>
      <c r="AE275" s="300">
        <v>7710</v>
      </c>
      <c r="AF275" s="294">
        <v>6570</v>
      </c>
      <c r="AG275" s="294">
        <v>6480</v>
      </c>
      <c r="AH275" s="294">
        <v>6270</v>
      </c>
      <c r="AI275" s="294">
        <v>6270</v>
      </c>
      <c r="AJ275" s="294">
        <v>6270</v>
      </c>
      <c r="AK275" s="294">
        <v>6150</v>
      </c>
      <c r="AL275" s="294">
        <v>6570</v>
      </c>
      <c r="AM275" s="294">
        <v>5490</v>
      </c>
      <c r="AZ275" s="312"/>
    </row>
    <row r="276" spans="1:52" x14ac:dyDescent="0.2">
      <c r="A276" s="294" t="s">
        <v>263</v>
      </c>
      <c r="C276" s="294" t="s">
        <v>401</v>
      </c>
      <c r="D276" s="294" t="s">
        <v>423</v>
      </c>
      <c r="E276" s="304">
        <v>1380</v>
      </c>
      <c r="F276" s="302">
        <v>1380</v>
      </c>
      <c r="G276" s="302">
        <v>1380</v>
      </c>
      <c r="H276" s="302">
        <v>1380</v>
      </c>
      <c r="I276" s="302">
        <v>1104</v>
      </c>
      <c r="J276" s="302">
        <v>1104</v>
      </c>
      <c r="K276" s="302">
        <v>1080</v>
      </c>
      <c r="L276" s="302">
        <v>780</v>
      </c>
      <c r="M276" s="302">
        <v>780</v>
      </c>
      <c r="N276" s="302">
        <v>600</v>
      </c>
      <c r="O276" s="302">
        <v>600</v>
      </c>
      <c r="P276" s="302"/>
      <c r="Q276" s="302"/>
      <c r="R276" s="302"/>
      <c r="S276" s="302"/>
      <c r="T276" s="302"/>
      <c r="U276" s="302"/>
      <c r="V276" s="302"/>
      <c r="W276" s="302"/>
      <c r="X276" s="302"/>
      <c r="Y276" s="302"/>
      <c r="Z276" s="302"/>
      <c r="AA276" s="302"/>
      <c r="AB276" s="302"/>
      <c r="AC276" s="304">
        <v>9480</v>
      </c>
      <c r="AD276" s="300">
        <v>8400</v>
      </c>
      <c r="AE276" s="300">
        <v>7710</v>
      </c>
      <c r="AF276" s="294">
        <v>7290</v>
      </c>
      <c r="AG276" s="294">
        <v>7440</v>
      </c>
      <c r="AH276" s="294">
        <v>6480</v>
      </c>
      <c r="AI276" s="294">
        <v>6060</v>
      </c>
      <c r="AJ276" s="294">
        <v>6270</v>
      </c>
      <c r="AK276" s="294">
        <v>6480</v>
      </c>
      <c r="AL276" s="294">
        <v>6630</v>
      </c>
      <c r="AM276" s="294">
        <v>5790</v>
      </c>
      <c r="AZ276" s="312"/>
    </row>
    <row r="277" spans="1:52" x14ac:dyDescent="0.2">
      <c r="A277" s="294" t="s">
        <v>263</v>
      </c>
      <c r="C277" s="294" t="s">
        <v>401</v>
      </c>
      <c r="D277" s="294" t="s">
        <v>422</v>
      </c>
      <c r="E277" s="304">
        <v>1380</v>
      </c>
      <c r="F277" s="302">
        <v>1380</v>
      </c>
      <c r="G277" s="302">
        <v>1380</v>
      </c>
      <c r="H277" s="302">
        <v>1380</v>
      </c>
      <c r="I277" s="302">
        <v>1104</v>
      </c>
      <c r="J277" s="302">
        <v>1104</v>
      </c>
      <c r="K277" s="302">
        <v>1080</v>
      </c>
      <c r="L277" s="302">
        <v>780</v>
      </c>
      <c r="M277" s="302">
        <v>780</v>
      </c>
      <c r="N277" s="302">
        <v>600</v>
      </c>
      <c r="O277" s="302">
        <v>600</v>
      </c>
      <c r="P277" s="302"/>
      <c r="Q277" s="302"/>
      <c r="R277" s="302"/>
      <c r="S277" s="302"/>
      <c r="T277" s="302"/>
      <c r="U277" s="302"/>
      <c r="V277" s="302"/>
      <c r="W277" s="302"/>
      <c r="X277" s="302"/>
      <c r="Y277" s="302"/>
      <c r="Z277" s="302"/>
      <c r="AA277" s="302"/>
      <c r="AB277" s="302"/>
      <c r="AC277" s="304">
        <v>8490</v>
      </c>
      <c r="AD277" s="300">
        <v>8520</v>
      </c>
      <c r="AE277" s="300">
        <v>7830</v>
      </c>
      <c r="AF277" s="294">
        <v>6900</v>
      </c>
      <c r="AG277" s="294">
        <v>6754</v>
      </c>
      <c r="AH277" s="294">
        <v>6769</v>
      </c>
      <c r="AI277" s="294">
        <v>6775</v>
      </c>
      <c r="AJ277" s="294">
        <v>6750</v>
      </c>
      <c r="AK277" s="294">
        <v>6510</v>
      </c>
      <c r="AL277" s="294">
        <v>6930</v>
      </c>
      <c r="AM277" s="294">
        <v>6090</v>
      </c>
      <c r="AZ277" s="312"/>
    </row>
    <row r="278" spans="1:52" x14ac:dyDescent="0.2">
      <c r="A278" s="294" t="s">
        <v>263</v>
      </c>
      <c r="C278" s="294" t="s">
        <v>401</v>
      </c>
      <c r="D278" s="294" t="s">
        <v>421</v>
      </c>
      <c r="E278" s="304">
        <v>1380</v>
      </c>
      <c r="F278" s="302">
        <v>1380</v>
      </c>
      <c r="G278" s="302">
        <v>1380</v>
      </c>
      <c r="H278" s="302">
        <v>1380</v>
      </c>
      <c r="I278" s="302">
        <v>1104</v>
      </c>
      <c r="J278" s="302">
        <v>1104</v>
      </c>
      <c r="K278" s="302">
        <v>1080</v>
      </c>
      <c r="L278" s="302">
        <v>780</v>
      </c>
      <c r="M278" s="302">
        <v>780</v>
      </c>
      <c r="N278" s="302">
        <v>600</v>
      </c>
      <c r="O278" s="302">
        <v>600</v>
      </c>
      <c r="P278" s="302"/>
      <c r="Q278" s="302"/>
      <c r="R278" s="302"/>
      <c r="S278" s="302"/>
      <c r="T278" s="302"/>
      <c r="U278" s="302"/>
      <c r="V278" s="302"/>
      <c r="W278" s="302"/>
      <c r="X278" s="302"/>
      <c r="Y278" s="302"/>
      <c r="Z278" s="302"/>
      <c r="AA278" s="302"/>
      <c r="AB278" s="302"/>
      <c r="AC278" s="304">
        <v>8610</v>
      </c>
      <c r="AD278" s="300">
        <v>5460</v>
      </c>
      <c r="AE278" s="300">
        <v>7950</v>
      </c>
      <c r="AF278" s="294">
        <v>7350</v>
      </c>
      <c r="AG278" s="294">
        <v>7047</v>
      </c>
      <c r="AH278" s="294">
        <v>6909</v>
      </c>
      <c r="AI278" s="294">
        <v>6879</v>
      </c>
      <c r="AJ278" s="294">
        <v>6750</v>
      </c>
      <c r="AK278" s="294">
        <v>6510</v>
      </c>
      <c r="AL278" s="294">
        <v>6930</v>
      </c>
      <c r="AM278" s="294">
        <v>6120</v>
      </c>
      <c r="AZ278" s="312"/>
    </row>
    <row r="279" spans="1:52" x14ac:dyDescent="0.2">
      <c r="A279" s="294" t="s">
        <v>263</v>
      </c>
      <c r="C279" s="294" t="s">
        <v>401</v>
      </c>
      <c r="D279" s="294" t="s">
        <v>420</v>
      </c>
      <c r="E279" s="304">
        <v>1380</v>
      </c>
      <c r="F279" s="302">
        <v>1380</v>
      </c>
      <c r="G279" s="302">
        <v>1380</v>
      </c>
      <c r="H279" s="302">
        <v>1380</v>
      </c>
      <c r="I279" s="302">
        <v>1104</v>
      </c>
      <c r="J279" s="302">
        <v>1104</v>
      </c>
      <c r="K279" s="302">
        <v>1080</v>
      </c>
      <c r="L279" s="302">
        <v>780</v>
      </c>
      <c r="M279" s="302">
        <v>780</v>
      </c>
      <c r="N279" s="302">
        <v>600</v>
      </c>
      <c r="O279" s="302">
        <v>600</v>
      </c>
      <c r="P279" s="302"/>
      <c r="Q279" s="302"/>
      <c r="R279" s="302"/>
      <c r="S279" s="302"/>
      <c r="T279" s="302"/>
      <c r="U279" s="302"/>
      <c r="V279" s="302"/>
      <c r="W279" s="302"/>
      <c r="X279" s="302"/>
      <c r="Y279" s="302"/>
      <c r="Z279" s="302"/>
      <c r="AA279" s="302"/>
      <c r="AB279" s="302"/>
      <c r="AC279" s="304">
        <v>10170</v>
      </c>
      <c r="AD279" s="300">
        <v>9930</v>
      </c>
      <c r="AE279" s="300">
        <v>9030</v>
      </c>
      <c r="AF279" s="294">
        <v>7980</v>
      </c>
      <c r="AG279" s="294">
        <v>6504</v>
      </c>
      <c r="AH279" s="294">
        <v>6174</v>
      </c>
      <c r="AI279" s="294">
        <v>6084</v>
      </c>
      <c r="AJ279" s="294">
        <v>6270</v>
      </c>
      <c r="AK279" s="294">
        <v>6480</v>
      </c>
      <c r="AL279" s="294">
        <v>6630</v>
      </c>
      <c r="AM279" s="294">
        <v>5790</v>
      </c>
      <c r="AZ279" s="312"/>
    </row>
    <row r="280" spans="1:52" x14ac:dyDescent="0.2">
      <c r="A280" s="294" t="s">
        <v>263</v>
      </c>
      <c r="C280" s="294" t="s">
        <v>401</v>
      </c>
      <c r="D280" s="294" t="s">
        <v>419</v>
      </c>
      <c r="E280" s="304">
        <v>1380</v>
      </c>
      <c r="F280" s="302">
        <v>1380</v>
      </c>
      <c r="G280" s="302">
        <v>1380</v>
      </c>
      <c r="H280" s="302">
        <v>1380</v>
      </c>
      <c r="I280" s="302">
        <v>1104</v>
      </c>
      <c r="J280" s="302">
        <v>1104</v>
      </c>
      <c r="K280" s="302">
        <v>1080</v>
      </c>
      <c r="L280" s="302">
        <v>780</v>
      </c>
      <c r="M280" s="302">
        <v>780</v>
      </c>
      <c r="N280" s="302">
        <v>600</v>
      </c>
      <c r="O280" s="302">
        <v>600</v>
      </c>
      <c r="P280" s="302"/>
      <c r="Q280" s="302"/>
      <c r="R280" s="302"/>
      <c r="S280" s="302"/>
      <c r="T280" s="302"/>
      <c r="U280" s="302"/>
      <c r="V280" s="302"/>
      <c r="W280" s="302"/>
      <c r="X280" s="302"/>
      <c r="Y280" s="302"/>
      <c r="Z280" s="302"/>
      <c r="AA280" s="302"/>
      <c r="AB280" s="302"/>
      <c r="AC280" s="304">
        <v>9930</v>
      </c>
      <c r="AD280" s="300">
        <v>9210</v>
      </c>
      <c r="AE280" s="300">
        <v>9210</v>
      </c>
      <c r="AF280" s="294">
        <v>8010</v>
      </c>
      <c r="AG280" s="294">
        <v>6632</v>
      </c>
      <c r="AH280" s="294">
        <v>6502</v>
      </c>
      <c r="AI280" s="294">
        <v>6500</v>
      </c>
      <c r="AJ280" s="294">
        <v>6270</v>
      </c>
      <c r="AK280" s="294">
        <v>6480</v>
      </c>
      <c r="AL280" s="294">
        <v>6630</v>
      </c>
      <c r="AM280" s="294">
        <v>5790</v>
      </c>
      <c r="AZ280" s="312"/>
    </row>
    <row r="281" spans="1:52" x14ac:dyDescent="0.2">
      <c r="A281" s="294" t="s">
        <v>263</v>
      </c>
      <c r="C281" s="294" t="s">
        <v>401</v>
      </c>
      <c r="D281" s="294" t="s">
        <v>418</v>
      </c>
      <c r="E281" s="304">
        <v>1380</v>
      </c>
      <c r="F281" s="302">
        <v>1380</v>
      </c>
      <c r="G281" s="302">
        <v>1380</v>
      </c>
      <c r="H281" s="302">
        <v>1380</v>
      </c>
      <c r="I281" s="302">
        <v>1104</v>
      </c>
      <c r="J281" s="302">
        <v>1104</v>
      </c>
      <c r="K281" s="302">
        <v>1080</v>
      </c>
      <c r="L281" s="302">
        <v>780</v>
      </c>
      <c r="M281" s="302">
        <v>780</v>
      </c>
      <c r="N281" s="302">
        <v>600</v>
      </c>
      <c r="O281" s="302">
        <v>600</v>
      </c>
      <c r="P281" s="302"/>
      <c r="Q281" s="302"/>
      <c r="R281" s="302"/>
      <c r="S281" s="302"/>
      <c r="T281" s="302"/>
      <c r="U281" s="302"/>
      <c r="V281" s="302"/>
      <c r="W281" s="302"/>
      <c r="X281" s="302"/>
      <c r="Y281" s="302"/>
      <c r="Z281" s="302"/>
      <c r="AA281" s="302"/>
      <c r="AB281" s="302"/>
      <c r="AC281" s="304">
        <v>11100</v>
      </c>
      <c r="AD281" s="300">
        <v>10650</v>
      </c>
      <c r="AE281" s="300">
        <v>10050</v>
      </c>
      <c r="AF281" s="294">
        <v>9450</v>
      </c>
      <c r="AG281" s="294">
        <v>7980</v>
      </c>
      <c r="AH281" s="294">
        <v>7699</v>
      </c>
      <c r="AI281" s="294">
        <v>7312</v>
      </c>
      <c r="AJ281" s="294">
        <v>6360</v>
      </c>
      <c r="AK281" s="294">
        <v>6480</v>
      </c>
      <c r="AL281" s="294">
        <v>6120</v>
      </c>
      <c r="AM281" s="294">
        <v>5340</v>
      </c>
      <c r="AZ281" s="312"/>
    </row>
    <row r="282" spans="1:52" x14ac:dyDescent="0.2">
      <c r="A282" s="294" t="s">
        <v>263</v>
      </c>
      <c r="C282" s="294" t="s">
        <v>401</v>
      </c>
      <c r="D282" s="294" t="s">
        <v>417</v>
      </c>
      <c r="E282" s="304">
        <v>1380</v>
      </c>
      <c r="F282" s="303">
        <v>1380</v>
      </c>
      <c r="G282" s="303">
        <v>1380</v>
      </c>
      <c r="H282" s="303">
        <v>1380</v>
      </c>
      <c r="I282" s="303">
        <v>1104</v>
      </c>
      <c r="J282" s="303">
        <v>1104</v>
      </c>
      <c r="K282" s="303">
        <v>1080</v>
      </c>
      <c r="L282" s="303">
        <v>780</v>
      </c>
      <c r="M282" s="303">
        <v>780</v>
      </c>
      <c r="N282" s="303">
        <v>600</v>
      </c>
      <c r="O282" s="303">
        <v>600</v>
      </c>
      <c r="P282" s="303"/>
      <c r="Q282" s="303"/>
      <c r="R282" s="303"/>
      <c r="S282" s="303"/>
      <c r="T282" s="303"/>
      <c r="U282" s="303"/>
      <c r="V282" s="303"/>
      <c r="W282" s="303"/>
      <c r="X282" s="303"/>
      <c r="Y282" s="303"/>
      <c r="Z282" s="303"/>
      <c r="AA282" s="303"/>
      <c r="AB282" s="303"/>
      <c r="AC282" s="304">
        <v>10410</v>
      </c>
      <c r="AD282" s="300">
        <v>9090</v>
      </c>
      <c r="AE282" s="300">
        <v>7980</v>
      </c>
      <c r="AF282" s="305">
        <v>6900</v>
      </c>
      <c r="AG282" s="294">
        <v>6293</v>
      </c>
      <c r="AH282" s="294">
        <v>6170</v>
      </c>
      <c r="AI282" s="294">
        <v>6088</v>
      </c>
      <c r="AJ282" s="294">
        <v>6270</v>
      </c>
      <c r="AK282" s="294">
        <v>6480</v>
      </c>
      <c r="AL282" s="294">
        <v>6630</v>
      </c>
      <c r="AM282" s="294">
        <v>5790</v>
      </c>
      <c r="AZ282" s="312"/>
    </row>
    <row r="283" spans="1:52" x14ac:dyDescent="0.2">
      <c r="A283" s="294" t="s">
        <v>263</v>
      </c>
      <c r="C283" s="294" t="s">
        <v>401</v>
      </c>
      <c r="D283" s="294" t="s">
        <v>416</v>
      </c>
      <c r="E283" s="304">
        <v>1380</v>
      </c>
      <c r="F283" s="303">
        <v>1380</v>
      </c>
      <c r="G283" s="303">
        <v>1380</v>
      </c>
      <c r="H283" s="303">
        <v>1380</v>
      </c>
      <c r="I283" s="303">
        <v>1104</v>
      </c>
      <c r="J283" s="303">
        <v>1104</v>
      </c>
      <c r="K283" s="303">
        <v>1080</v>
      </c>
      <c r="L283" s="303">
        <v>780</v>
      </c>
      <c r="M283" s="303">
        <v>780</v>
      </c>
      <c r="N283" s="303">
        <v>600</v>
      </c>
      <c r="O283" s="303">
        <v>600</v>
      </c>
      <c r="P283" s="303"/>
      <c r="Q283" s="303"/>
      <c r="R283" s="303"/>
      <c r="S283" s="303"/>
      <c r="T283" s="303"/>
      <c r="U283" s="303"/>
      <c r="V283" s="303"/>
      <c r="W283" s="303"/>
      <c r="X283" s="303"/>
      <c r="Y283" s="303"/>
      <c r="Z283" s="303"/>
      <c r="AA283" s="303"/>
      <c r="AB283" s="303"/>
      <c r="AC283" s="304">
        <v>10170</v>
      </c>
      <c r="AD283" s="300">
        <v>9930</v>
      </c>
      <c r="AE283" s="300">
        <v>9030</v>
      </c>
      <c r="AF283" s="305">
        <v>7980</v>
      </c>
      <c r="AG283" s="294">
        <v>6504</v>
      </c>
      <c r="AH283" s="294">
        <v>6174</v>
      </c>
      <c r="AI283" s="294">
        <v>6088</v>
      </c>
      <c r="AJ283" s="294">
        <v>6270</v>
      </c>
      <c r="AK283" s="294">
        <v>6480</v>
      </c>
      <c r="AL283" s="294">
        <v>6630</v>
      </c>
      <c r="AM283" s="294">
        <v>5790</v>
      </c>
      <c r="AZ283" s="312"/>
    </row>
    <row r="284" spans="1:52" x14ac:dyDescent="0.2">
      <c r="A284" s="294" t="s">
        <v>263</v>
      </c>
      <c r="C284" s="294" t="s">
        <v>401</v>
      </c>
      <c r="D284" s="294" t="s">
        <v>415</v>
      </c>
      <c r="E284" s="304">
        <v>1380</v>
      </c>
      <c r="F284" s="303">
        <v>1380</v>
      </c>
      <c r="G284" s="303">
        <v>1380</v>
      </c>
      <c r="H284" s="303">
        <v>1380</v>
      </c>
      <c r="I284" s="303">
        <v>1104</v>
      </c>
      <c r="J284" s="303">
        <v>1104</v>
      </c>
      <c r="K284" s="303">
        <v>1080</v>
      </c>
      <c r="L284" s="303">
        <v>780</v>
      </c>
      <c r="M284" s="303">
        <v>780</v>
      </c>
      <c r="N284" s="303">
        <v>600</v>
      </c>
      <c r="O284" s="303">
        <v>600</v>
      </c>
      <c r="P284" s="303"/>
      <c r="Q284" s="303"/>
      <c r="R284" s="303"/>
      <c r="S284" s="303"/>
      <c r="T284" s="303"/>
      <c r="U284" s="303"/>
      <c r="V284" s="303"/>
      <c r="W284" s="303"/>
      <c r="X284" s="303"/>
      <c r="Y284" s="303"/>
      <c r="Z284" s="303"/>
      <c r="AA284" s="303"/>
      <c r="AB284" s="303"/>
      <c r="AC284" s="304">
        <v>8490</v>
      </c>
      <c r="AD284" s="300">
        <v>8400</v>
      </c>
      <c r="AE284" s="300">
        <v>7710</v>
      </c>
      <c r="AF284" s="305">
        <v>6780</v>
      </c>
      <c r="AG284" s="294">
        <v>6480</v>
      </c>
      <c r="AH284" s="294">
        <v>6216</v>
      </c>
      <c r="AI284" s="294">
        <v>6243</v>
      </c>
      <c r="AJ284" s="294">
        <v>6540</v>
      </c>
      <c r="AK284" s="294">
        <v>7470</v>
      </c>
      <c r="AL284" s="294">
        <v>6750</v>
      </c>
      <c r="AM284" s="294">
        <v>6630</v>
      </c>
      <c r="AZ284" s="312"/>
    </row>
    <row r="285" spans="1:52" x14ac:dyDescent="0.2">
      <c r="A285" s="294" t="s">
        <v>263</v>
      </c>
      <c r="C285" s="294" t="s">
        <v>401</v>
      </c>
      <c r="D285" s="294" t="s">
        <v>414</v>
      </c>
      <c r="E285" s="304">
        <v>1380</v>
      </c>
      <c r="F285" s="303">
        <v>1380</v>
      </c>
      <c r="G285" s="303">
        <v>1380</v>
      </c>
      <c r="H285" s="303">
        <v>1380</v>
      </c>
      <c r="I285" s="303">
        <v>1104</v>
      </c>
      <c r="J285" s="303">
        <v>1104</v>
      </c>
      <c r="K285" s="303">
        <v>1080</v>
      </c>
      <c r="L285" s="303">
        <v>780</v>
      </c>
      <c r="M285" s="303">
        <v>780</v>
      </c>
      <c r="N285" s="303">
        <v>600</v>
      </c>
      <c r="O285" s="303">
        <v>600</v>
      </c>
      <c r="P285" s="303"/>
      <c r="Q285" s="303"/>
      <c r="R285" s="303"/>
      <c r="S285" s="303"/>
      <c r="T285" s="303"/>
      <c r="U285" s="303"/>
      <c r="V285" s="303"/>
      <c r="W285" s="303"/>
      <c r="X285" s="303"/>
      <c r="Y285" s="303"/>
      <c r="Z285" s="303"/>
      <c r="AA285" s="303"/>
      <c r="AB285" s="303"/>
      <c r="AC285" s="304">
        <v>8400</v>
      </c>
      <c r="AD285" s="300">
        <v>8400</v>
      </c>
      <c r="AE285" s="300">
        <v>7800</v>
      </c>
      <c r="AF285" s="305">
        <v>7080</v>
      </c>
      <c r="AG285" s="294">
        <v>7080</v>
      </c>
      <c r="AH285" s="294">
        <v>7080</v>
      </c>
      <c r="AI285" s="294">
        <v>6750</v>
      </c>
      <c r="AJ285" s="294">
        <v>6750</v>
      </c>
      <c r="AK285" s="294">
        <v>6570</v>
      </c>
      <c r="AL285" s="294">
        <v>6720</v>
      </c>
      <c r="AM285" s="294">
        <v>5790</v>
      </c>
      <c r="AZ285" s="312"/>
    </row>
    <row r="286" spans="1:52" x14ac:dyDescent="0.2">
      <c r="A286" s="294" t="s">
        <v>263</v>
      </c>
      <c r="C286" s="294" t="s">
        <v>401</v>
      </c>
      <c r="D286" s="294" t="s">
        <v>413</v>
      </c>
      <c r="E286" s="304">
        <v>1380</v>
      </c>
      <c r="F286" s="303">
        <v>1380</v>
      </c>
      <c r="G286" s="303">
        <v>1380</v>
      </c>
      <c r="H286" s="303">
        <v>1380</v>
      </c>
      <c r="I286" s="303">
        <v>1104</v>
      </c>
      <c r="J286" s="303">
        <v>1104</v>
      </c>
      <c r="K286" s="303">
        <v>1080</v>
      </c>
      <c r="L286" s="303">
        <v>780</v>
      </c>
      <c r="M286" s="303">
        <v>780</v>
      </c>
      <c r="N286" s="303">
        <v>600</v>
      </c>
      <c r="O286" s="303">
        <v>600</v>
      </c>
      <c r="P286" s="303"/>
      <c r="Q286" s="303"/>
      <c r="R286" s="303"/>
      <c r="S286" s="303"/>
      <c r="T286" s="303"/>
      <c r="U286" s="303"/>
      <c r="V286" s="303"/>
      <c r="W286" s="303"/>
      <c r="X286" s="303"/>
      <c r="Y286" s="303"/>
      <c r="Z286" s="303"/>
      <c r="AA286" s="303"/>
      <c r="AB286" s="303"/>
      <c r="AC286" s="304">
        <v>9540</v>
      </c>
      <c r="AD286" s="300">
        <v>8340</v>
      </c>
      <c r="AE286" s="300">
        <v>7950</v>
      </c>
      <c r="AF286" s="305">
        <v>6660</v>
      </c>
      <c r="AG286" s="294">
        <v>6486</v>
      </c>
      <c r="AH286" s="294">
        <v>6498</v>
      </c>
      <c r="AI286" s="294">
        <v>6500</v>
      </c>
      <c r="AJ286" s="294">
        <v>6480</v>
      </c>
      <c r="AK286" s="294">
        <v>6480</v>
      </c>
      <c r="AL286" s="294">
        <v>6630</v>
      </c>
      <c r="AM286" s="294">
        <v>5790</v>
      </c>
      <c r="AZ286" s="312"/>
    </row>
    <row r="287" spans="1:52" x14ac:dyDescent="0.2">
      <c r="A287" s="294" t="s">
        <v>263</v>
      </c>
      <c r="C287" s="294" t="s">
        <v>401</v>
      </c>
      <c r="D287" s="294" t="s">
        <v>412</v>
      </c>
      <c r="E287" s="304">
        <v>1380</v>
      </c>
      <c r="F287" s="303">
        <v>1380</v>
      </c>
      <c r="G287" s="303">
        <v>1380</v>
      </c>
      <c r="H287" s="303">
        <v>1380</v>
      </c>
      <c r="I287" s="303">
        <v>1104</v>
      </c>
      <c r="J287" s="303">
        <v>1104</v>
      </c>
      <c r="K287" s="303">
        <v>1080</v>
      </c>
      <c r="L287" s="303">
        <v>780</v>
      </c>
      <c r="M287" s="303">
        <v>780</v>
      </c>
      <c r="N287" s="303">
        <v>600</v>
      </c>
      <c r="O287" s="303">
        <v>600</v>
      </c>
      <c r="P287" s="303"/>
      <c r="Q287" s="303"/>
      <c r="R287" s="303"/>
      <c r="S287" s="303"/>
      <c r="T287" s="303"/>
      <c r="U287" s="303"/>
      <c r="V287" s="303"/>
      <c r="W287" s="303"/>
      <c r="X287" s="303"/>
      <c r="Y287" s="303"/>
      <c r="Z287" s="303"/>
      <c r="AA287" s="303"/>
      <c r="AB287" s="303"/>
      <c r="AC287" s="304">
        <v>9120</v>
      </c>
      <c r="AD287" s="300">
        <v>8400</v>
      </c>
      <c r="AE287" s="300">
        <v>7740</v>
      </c>
      <c r="AF287" s="305">
        <v>7410</v>
      </c>
      <c r="AG287" s="294">
        <v>7834</v>
      </c>
      <c r="AH287" s="294">
        <v>7680</v>
      </c>
      <c r="AI287" s="294">
        <v>7440</v>
      </c>
      <c r="AJ287" s="294">
        <v>6750</v>
      </c>
      <c r="AK287" s="294">
        <v>6750</v>
      </c>
      <c r="AL287" s="294">
        <v>6900</v>
      </c>
      <c r="AM287" s="294">
        <v>6150</v>
      </c>
      <c r="AZ287" s="312"/>
    </row>
    <row r="288" spans="1:52" x14ac:dyDescent="0.2">
      <c r="A288" s="294" t="s">
        <v>263</v>
      </c>
      <c r="C288" s="294" t="s">
        <v>401</v>
      </c>
      <c r="D288" s="294" t="s">
        <v>411</v>
      </c>
      <c r="E288" s="304">
        <v>1380</v>
      </c>
      <c r="F288" s="303">
        <v>1380</v>
      </c>
      <c r="G288" s="303">
        <v>1380</v>
      </c>
      <c r="H288" s="303">
        <v>1380</v>
      </c>
      <c r="I288" s="303">
        <v>1104</v>
      </c>
      <c r="J288" s="303">
        <v>1104</v>
      </c>
      <c r="K288" s="303">
        <v>1080</v>
      </c>
      <c r="L288" s="303">
        <v>780</v>
      </c>
      <c r="M288" s="303">
        <v>780</v>
      </c>
      <c r="N288" s="303">
        <v>600</v>
      </c>
      <c r="O288" s="303">
        <v>600</v>
      </c>
      <c r="P288" s="303"/>
      <c r="Q288" s="303"/>
      <c r="R288" s="303"/>
      <c r="S288" s="303"/>
      <c r="T288" s="303"/>
      <c r="U288" s="303"/>
      <c r="V288" s="303"/>
      <c r="W288" s="303"/>
      <c r="X288" s="303"/>
      <c r="Y288" s="303"/>
      <c r="Z288" s="303"/>
      <c r="AA288" s="303"/>
      <c r="AB288" s="303"/>
      <c r="AC288" s="304">
        <v>8610</v>
      </c>
      <c r="AD288" s="300">
        <v>8460</v>
      </c>
      <c r="AE288" s="300">
        <v>7950</v>
      </c>
      <c r="AF288" s="305">
        <v>7350</v>
      </c>
      <c r="AG288" s="294">
        <v>7047</v>
      </c>
      <c r="AH288" s="294">
        <v>6909</v>
      </c>
      <c r="AI288" s="294">
        <v>6879</v>
      </c>
      <c r="AJ288" s="294">
        <v>6750</v>
      </c>
      <c r="AK288" s="294">
        <v>6510</v>
      </c>
      <c r="AL288" s="294">
        <v>6930</v>
      </c>
      <c r="AM288" s="294">
        <v>6120</v>
      </c>
      <c r="AZ288" s="312"/>
    </row>
    <row r="289" spans="1:52" x14ac:dyDescent="0.2">
      <c r="A289" s="294" t="s">
        <v>263</v>
      </c>
      <c r="C289" s="294" t="s">
        <v>401</v>
      </c>
      <c r="D289" s="294" t="s">
        <v>410</v>
      </c>
      <c r="E289" s="304">
        <v>1380</v>
      </c>
      <c r="F289" s="303">
        <v>1380</v>
      </c>
      <c r="G289" s="303">
        <v>1380</v>
      </c>
      <c r="H289" s="303">
        <v>1380</v>
      </c>
      <c r="I289" s="303">
        <v>1104</v>
      </c>
      <c r="J289" s="303">
        <v>1104</v>
      </c>
      <c r="K289" s="303">
        <v>1080</v>
      </c>
      <c r="L289" s="303">
        <v>780</v>
      </c>
      <c r="M289" s="303">
        <v>780</v>
      </c>
      <c r="N289" s="303">
        <v>600</v>
      </c>
      <c r="O289" s="303">
        <v>600</v>
      </c>
      <c r="P289" s="303"/>
      <c r="Q289" s="303"/>
      <c r="R289" s="303"/>
      <c r="S289" s="303"/>
      <c r="T289" s="303"/>
      <c r="U289" s="303"/>
      <c r="V289" s="303"/>
      <c r="W289" s="303"/>
      <c r="X289" s="303"/>
      <c r="Y289" s="303"/>
      <c r="Z289" s="303"/>
      <c r="AA289" s="303"/>
      <c r="AB289" s="303"/>
      <c r="AC289" s="304">
        <v>9270</v>
      </c>
      <c r="AD289" s="300">
        <v>8340</v>
      </c>
      <c r="AE289" s="300">
        <v>7860</v>
      </c>
      <c r="AF289" s="305">
        <v>6300</v>
      </c>
      <c r="AG289" s="294">
        <v>6426</v>
      </c>
      <c r="AH289" s="294">
        <v>6300</v>
      </c>
      <c r="AI289" s="294">
        <v>6690</v>
      </c>
      <c r="AJ289" s="294">
        <v>6480</v>
      </c>
      <c r="AK289" s="294">
        <v>6480</v>
      </c>
      <c r="AL289" s="294">
        <v>6630</v>
      </c>
      <c r="AM289" s="294">
        <v>5790</v>
      </c>
      <c r="AZ289" s="312"/>
    </row>
    <row r="290" spans="1:52" x14ac:dyDescent="0.2">
      <c r="A290" s="294" t="s">
        <v>263</v>
      </c>
      <c r="C290" s="294" t="s">
        <v>401</v>
      </c>
      <c r="D290" s="294" t="s">
        <v>409</v>
      </c>
      <c r="E290" s="304">
        <v>1380</v>
      </c>
      <c r="F290" s="303">
        <v>1380</v>
      </c>
      <c r="G290" s="303">
        <v>1380</v>
      </c>
      <c r="H290" s="303">
        <v>1380</v>
      </c>
      <c r="I290" s="303">
        <v>1104</v>
      </c>
      <c r="J290" s="303">
        <v>1104</v>
      </c>
      <c r="K290" s="303">
        <v>1080</v>
      </c>
      <c r="L290" s="303">
        <v>780</v>
      </c>
      <c r="M290" s="303">
        <v>780</v>
      </c>
      <c r="N290" s="303">
        <v>600</v>
      </c>
      <c r="O290" s="303">
        <v>600</v>
      </c>
      <c r="P290" s="303"/>
      <c r="Q290" s="303"/>
      <c r="R290" s="303"/>
      <c r="S290" s="303"/>
      <c r="T290" s="303"/>
      <c r="U290" s="303"/>
      <c r="V290" s="303"/>
      <c r="W290" s="303"/>
      <c r="X290" s="303"/>
      <c r="Y290" s="303"/>
      <c r="Z290" s="303"/>
      <c r="AA290" s="303"/>
      <c r="AB290" s="303"/>
      <c r="AC290" s="304">
        <v>8730</v>
      </c>
      <c r="AD290" s="300">
        <v>8400</v>
      </c>
      <c r="AE290" s="300">
        <v>7710</v>
      </c>
      <c r="AF290" s="305">
        <v>6780</v>
      </c>
      <c r="AG290" s="294">
        <v>6610</v>
      </c>
      <c r="AH290" s="294">
        <v>6480</v>
      </c>
      <c r="AI290" s="294">
        <v>6480</v>
      </c>
      <c r="AJ290" s="294">
        <v>6480</v>
      </c>
      <c r="AK290" s="294">
        <v>6480</v>
      </c>
      <c r="AL290" s="294">
        <v>6630</v>
      </c>
      <c r="AM290" s="294">
        <v>5490</v>
      </c>
      <c r="AZ290" s="312"/>
    </row>
    <row r="291" spans="1:52" x14ac:dyDescent="0.2">
      <c r="A291" s="294" t="s">
        <v>263</v>
      </c>
      <c r="C291" s="294" t="s">
        <v>401</v>
      </c>
      <c r="D291" s="294" t="s">
        <v>408</v>
      </c>
      <c r="E291" s="304">
        <v>1380</v>
      </c>
      <c r="F291" s="303">
        <v>1380</v>
      </c>
      <c r="G291" s="303">
        <v>1380</v>
      </c>
      <c r="H291" s="303">
        <v>1380</v>
      </c>
      <c r="I291" s="303">
        <v>1104</v>
      </c>
      <c r="J291" s="303">
        <v>1104</v>
      </c>
      <c r="K291" s="303">
        <v>1080</v>
      </c>
      <c r="L291" s="303">
        <v>780</v>
      </c>
      <c r="M291" s="303">
        <v>780</v>
      </c>
      <c r="N291" s="303">
        <v>600</v>
      </c>
      <c r="O291" s="303">
        <v>600</v>
      </c>
      <c r="P291" s="303"/>
      <c r="Q291" s="303"/>
      <c r="R291" s="303"/>
      <c r="S291" s="303"/>
      <c r="T291" s="303"/>
      <c r="U291" s="303"/>
      <c r="V291" s="303"/>
      <c r="W291" s="303"/>
      <c r="X291" s="303"/>
      <c r="Y291" s="303"/>
      <c r="Z291" s="303"/>
      <c r="AA291" s="303"/>
      <c r="AB291" s="303"/>
      <c r="AC291" s="304">
        <v>9120</v>
      </c>
      <c r="AD291" s="300">
        <v>8400</v>
      </c>
      <c r="AE291" s="300">
        <v>7380</v>
      </c>
      <c r="AF291" s="305">
        <v>6780</v>
      </c>
      <c r="AG291" s="294">
        <v>6480</v>
      </c>
      <c r="AH291" s="294">
        <v>6150</v>
      </c>
      <c r="AI291" s="294">
        <v>6060</v>
      </c>
      <c r="AJ291" s="294">
        <v>6270</v>
      </c>
      <c r="AK291" s="294">
        <v>6480</v>
      </c>
      <c r="AL291" s="294">
        <v>6630</v>
      </c>
      <c r="AM291" s="294">
        <v>5790</v>
      </c>
      <c r="AZ291" s="312"/>
    </row>
    <row r="292" spans="1:52" x14ac:dyDescent="0.2">
      <c r="A292" s="294" t="s">
        <v>263</v>
      </c>
      <c r="C292" s="294" t="s">
        <v>401</v>
      </c>
      <c r="D292" s="294" t="s">
        <v>407</v>
      </c>
      <c r="E292" s="304">
        <v>1380</v>
      </c>
      <c r="F292" s="303">
        <v>1380</v>
      </c>
      <c r="G292" s="303">
        <v>1380</v>
      </c>
      <c r="H292" s="303">
        <v>1380</v>
      </c>
      <c r="I292" s="303">
        <v>1104</v>
      </c>
      <c r="J292" s="303">
        <v>1104</v>
      </c>
      <c r="K292" s="303">
        <v>1080</v>
      </c>
      <c r="L292" s="303">
        <v>780</v>
      </c>
      <c r="M292" s="303">
        <v>780</v>
      </c>
      <c r="N292" s="303">
        <v>600</v>
      </c>
      <c r="O292" s="303">
        <v>600</v>
      </c>
      <c r="P292" s="303"/>
      <c r="Q292" s="303"/>
      <c r="R292" s="303"/>
      <c r="S292" s="303"/>
      <c r="T292" s="303"/>
      <c r="U292" s="303"/>
      <c r="V292" s="303"/>
      <c r="W292" s="303"/>
      <c r="X292" s="303"/>
      <c r="Y292" s="303"/>
      <c r="Z292" s="303"/>
      <c r="AA292" s="303"/>
      <c r="AB292" s="303"/>
      <c r="AC292" s="304">
        <v>9180</v>
      </c>
      <c r="AD292" s="300">
        <v>9180</v>
      </c>
      <c r="AE292" s="300">
        <v>8850</v>
      </c>
      <c r="AF292" s="305">
        <v>8250</v>
      </c>
      <c r="AG292" s="294">
        <v>6494</v>
      </c>
      <c r="AH292" s="294">
        <v>8294</v>
      </c>
      <c r="AI292" s="294">
        <v>6074</v>
      </c>
      <c r="AJ292" s="294">
        <v>6270</v>
      </c>
      <c r="AK292" s="294">
        <v>6450</v>
      </c>
      <c r="AL292" s="294">
        <v>6630</v>
      </c>
      <c r="AM292" s="294">
        <v>5850</v>
      </c>
      <c r="AZ292" s="312"/>
    </row>
    <row r="293" spans="1:52" x14ac:dyDescent="0.2">
      <c r="A293" s="294" t="s">
        <v>263</v>
      </c>
      <c r="C293" s="294" t="s">
        <v>401</v>
      </c>
      <c r="D293" s="294" t="s">
        <v>406</v>
      </c>
      <c r="E293" s="304">
        <v>1380</v>
      </c>
      <c r="F293" s="303">
        <v>1380</v>
      </c>
      <c r="G293" s="303">
        <v>1380</v>
      </c>
      <c r="H293" s="303">
        <v>1380</v>
      </c>
      <c r="I293" s="303">
        <v>1104</v>
      </c>
      <c r="J293" s="303">
        <v>1104</v>
      </c>
      <c r="K293" s="303">
        <v>1080</v>
      </c>
      <c r="L293" s="303">
        <v>780</v>
      </c>
      <c r="M293" s="303">
        <v>780</v>
      </c>
      <c r="N293" s="303">
        <v>600</v>
      </c>
      <c r="O293" s="303">
        <v>600</v>
      </c>
      <c r="P293" s="303"/>
      <c r="Q293" s="303"/>
      <c r="R293" s="303"/>
      <c r="S293" s="303"/>
      <c r="T293" s="303"/>
      <c r="U293" s="303"/>
      <c r="V293" s="303"/>
      <c r="W293" s="303"/>
      <c r="X293" s="303"/>
      <c r="Y293" s="303"/>
      <c r="Z293" s="303"/>
      <c r="AA293" s="303"/>
      <c r="AB293" s="303"/>
      <c r="AC293" s="304">
        <v>9120</v>
      </c>
      <c r="AD293" s="300">
        <v>8400</v>
      </c>
      <c r="AE293" s="300">
        <v>7710</v>
      </c>
      <c r="AF293" s="305">
        <v>6570</v>
      </c>
      <c r="AG293" s="294">
        <v>6273</v>
      </c>
      <c r="AH293" s="294">
        <v>6150</v>
      </c>
      <c r="AI293" s="294">
        <v>6060</v>
      </c>
      <c r="AJ293" s="294">
        <v>6270</v>
      </c>
      <c r="AK293" s="294">
        <v>6480</v>
      </c>
      <c r="AL293" s="294">
        <v>6630</v>
      </c>
      <c r="AM293" s="294">
        <v>5790</v>
      </c>
      <c r="AZ293" s="312"/>
    </row>
    <row r="294" spans="1:52" ht="12.75" customHeight="1" x14ac:dyDescent="0.2">
      <c r="A294" s="294" t="s">
        <v>263</v>
      </c>
      <c r="C294" s="294" t="s">
        <v>401</v>
      </c>
      <c r="D294" s="294" t="s">
        <v>405</v>
      </c>
      <c r="E294" s="304">
        <v>1380</v>
      </c>
      <c r="F294" s="303">
        <v>1380</v>
      </c>
      <c r="G294" s="303">
        <v>1380</v>
      </c>
      <c r="H294" s="303">
        <v>1380</v>
      </c>
      <c r="I294" s="303">
        <v>1104</v>
      </c>
      <c r="J294" s="303">
        <v>1104</v>
      </c>
      <c r="K294" s="303">
        <v>1080</v>
      </c>
      <c r="L294" s="303">
        <v>780</v>
      </c>
      <c r="M294" s="303">
        <v>780</v>
      </c>
      <c r="N294" s="303">
        <v>600</v>
      </c>
      <c r="O294" s="303">
        <v>600</v>
      </c>
      <c r="P294" s="303"/>
      <c r="Q294" s="303"/>
      <c r="R294" s="303"/>
      <c r="S294" s="303"/>
      <c r="T294" s="303"/>
      <c r="U294" s="303"/>
      <c r="V294" s="303"/>
      <c r="W294" s="303"/>
      <c r="X294" s="303"/>
      <c r="Y294" s="303"/>
      <c r="Z294" s="303"/>
      <c r="AA294" s="303"/>
      <c r="AB294" s="303"/>
      <c r="AC294" s="304">
        <v>11130</v>
      </c>
      <c r="AD294" s="300">
        <v>10860</v>
      </c>
      <c r="AE294" s="300">
        <v>8190</v>
      </c>
      <c r="AF294" s="305">
        <v>7830</v>
      </c>
      <c r="AG294" s="313">
        <v>6674</v>
      </c>
      <c r="AH294" s="313">
        <v>6544</v>
      </c>
      <c r="AI294" s="313">
        <v>6103</v>
      </c>
      <c r="AJ294" s="294">
        <v>6270</v>
      </c>
      <c r="AK294" s="294">
        <v>6480</v>
      </c>
      <c r="AL294" s="294">
        <v>6630</v>
      </c>
      <c r="AM294" s="294">
        <v>5790</v>
      </c>
      <c r="AZ294" s="312"/>
    </row>
    <row r="295" spans="1:52" s="307" customFormat="1" x14ac:dyDescent="0.2">
      <c r="A295" s="294" t="s">
        <v>263</v>
      </c>
      <c r="B295" s="294"/>
      <c r="C295" s="294" t="s">
        <v>401</v>
      </c>
      <c r="D295" s="294" t="s">
        <v>404</v>
      </c>
      <c r="E295" s="304">
        <v>1380</v>
      </c>
      <c r="F295" s="303">
        <v>1380</v>
      </c>
      <c r="G295" s="303">
        <v>1380</v>
      </c>
      <c r="H295" s="303">
        <v>1380</v>
      </c>
      <c r="I295" s="303">
        <v>1104</v>
      </c>
      <c r="J295" s="303">
        <v>1104</v>
      </c>
      <c r="K295" s="303">
        <v>1080</v>
      </c>
      <c r="L295" s="303">
        <v>780</v>
      </c>
      <c r="M295" s="303">
        <v>780</v>
      </c>
      <c r="N295" s="303">
        <v>600</v>
      </c>
      <c r="O295" s="303">
        <v>600</v>
      </c>
      <c r="P295" s="303"/>
      <c r="Q295" s="303"/>
      <c r="R295" s="303"/>
      <c r="S295" s="303"/>
      <c r="T295" s="303"/>
      <c r="U295" s="303"/>
      <c r="V295" s="303"/>
      <c r="W295" s="303"/>
      <c r="X295" s="303"/>
      <c r="Y295" s="303"/>
      <c r="Z295" s="303"/>
      <c r="AA295" s="303"/>
      <c r="AB295" s="303"/>
      <c r="AC295" s="304">
        <v>8910</v>
      </c>
      <c r="AD295" s="300">
        <v>9240</v>
      </c>
      <c r="AE295" s="300">
        <v>8670</v>
      </c>
      <c r="AF295" s="305">
        <v>7440</v>
      </c>
      <c r="AG295" s="313">
        <v>6502</v>
      </c>
      <c r="AH295" s="313">
        <v>6502</v>
      </c>
      <c r="AI295" s="313">
        <v>6497</v>
      </c>
      <c r="AJ295" s="294">
        <v>6360</v>
      </c>
      <c r="AK295" s="294">
        <v>6750</v>
      </c>
      <c r="AL295" s="294">
        <v>6630</v>
      </c>
      <c r="AM295" s="294">
        <v>5790</v>
      </c>
      <c r="AZ295" s="312"/>
    </row>
    <row r="296" spans="1:52" x14ac:dyDescent="0.2">
      <c r="A296" s="294" t="s">
        <v>263</v>
      </c>
      <c r="C296" s="294" t="s">
        <v>401</v>
      </c>
      <c r="D296" s="294" t="s">
        <v>403</v>
      </c>
      <c r="E296" s="304">
        <v>1380</v>
      </c>
      <c r="F296" s="303">
        <v>1380</v>
      </c>
      <c r="G296" s="303">
        <v>1380</v>
      </c>
      <c r="H296" s="303">
        <v>1380</v>
      </c>
      <c r="I296" s="303">
        <v>1104</v>
      </c>
      <c r="J296" s="303">
        <v>1104</v>
      </c>
      <c r="K296" s="303">
        <v>1080</v>
      </c>
      <c r="L296" s="303">
        <v>780</v>
      </c>
      <c r="M296" s="303">
        <v>780</v>
      </c>
      <c r="N296" s="303">
        <v>600</v>
      </c>
      <c r="O296" s="303">
        <v>600</v>
      </c>
      <c r="P296" s="303"/>
      <c r="Q296" s="303"/>
      <c r="R296" s="303"/>
      <c r="S296" s="303"/>
      <c r="T296" s="303"/>
      <c r="U296" s="303"/>
      <c r="V296" s="303"/>
      <c r="W296" s="303"/>
      <c r="X296" s="303"/>
      <c r="Y296" s="303"/>
      <c r="Z296" s="303"/>
      <c r="AA296" s="303"/>
      <c r="AB296" s="303"/>
      <c r="AC296" s="304">
        <v>9120</v>
      </c>
      <c r="AD296" s="300">
        <v>8400</v>
      </c>
      <c r="AE296" s="300">
        <v>7830</v>
      </c>
      <c r="AF296" s="305">
        <v>6930</v>
      </c>
      <c r="AG296" s="313">
        <v>6931</v>
      </c>
      <c r="AH296" s="313">
        <v>6900</v>
      </c>
      <c r="AI296" s="313">
        <v>6900</v>
      </c>
      <c r="AJ296" s="294">
        <v>6750</v>
      </c>
      <c r="AK296" s="294">
        <v>6480</v>
      </c>
      <c r="AL296" s="294">
        <v>6630</v>
      </c>
      <c r="AM296" s="294">
        <v>5790</v>
      </c>
      <c r="AZ296" s="312"/>
    </row>
    <row r="297" spans="1:52" x14ac:dyDescent="0.2">
      <c r="A297" s="294" t="s">
        <v>263</v>
      </c>
      <c r="C297" s="294" t="s">
        <v>401</v>
      </c>
      <c r="D297" s="294" t="s">
        <v>402</v>
      </c>
      <c r="E297" s="304">
        <v>1380</v>
      </c>
      <c r="F297" s="303">
        <v>1380</v>
      </c>
      <c r="G297" s="303">
        <v>1380</v>
      </c>
      <c r="H297" s="303">
        <v>1380</v>
      </c>
      <c r="I297" s="303">
        <v>1104</v>
      </c>
      <c r="J297" s="303">
        <v>1104</v>
      </c>
      <c r="K297" s="303">
        <v>1080</v>
      </c>
      <c r="L297" s="303"/>
      <c r="M297" s="303"/>
      <c r="N297" s="303"/>
      <c r="O297" s="303"/>
      <c r="P297" s="303"/>
      <c r="Q297" s="303"/>
      <c r="R297" s="303"/>
      <c r="S297" s="303"/>
      <c r="T297" s="303"/>
      <c r="U297" s="303"/>
      <c r="V297" s="303"/>
      <c r="W297" s="303"/>
      <c r="X297" s="303"/>
      <c r="Y297" s="303"/>
      <c r="Z297" s="303"/>
      <c r="AA297" s="303"/>
      <c r="AB297" s="303"/>
      <c r="AC297" s="304">
        <v>8400</v>
      </c>
      <c r="AD297" s="300">
        <v>8400</v>
      </c>
      <c r="AE297" s="300">
        <v>7830</v>
      </c>
      <c r="AF297" s="305">
        <v>7380</v>
      </c>
      <c r="AG297" s="313">
        <v>6500</v>
      </c>
      <c r="AH297" s="313">
        <v>6500</v>
      </c>
      <c r="AI297" s="313">
        <v>6500</v>
      </c>
      <c r="AZ297" s="312"/>
    </row>
    <row r="298" spans="1:52" x14ac:dyDescent="0.2">
      <c r="A298" s="294" t="s">
        <v>263</v>
      </c>
      <c r="C298" s="294" t="s">
        <v>401</v>
      </c>
      <c r="D298" s="294" t="s">
        <v>400</v>
      </c>
      <c r="E298" s="304">
        <v>1380</v>
      </c>
      <c r="F298" s="303">
        <v>1380</v>
      </c>
      <c r="G298" s="303">
        <v>1380</v>
      </c>
      <c r="H298" s="303">
        <v>1380</v>
      </c>
      <c r="I298" s="303">
        <v>1104</v>
      </c>
      <c r="J298" s="303">
        <v>1104</v>
      </c>
      <c r="K298" s="303">
        <v>1080</v>
      </c>
      <c r="L298" s="303">
        <v>780</v>
      </c>
      <c r="M298" s="303">
        <v>780</v>
      </c>
      <c r="N298" s="303">
        <v>600</v>
      </c>
      <c r="O298" s="303">
        <v>600</v>
      </c>
      <c r="P298" s="303"/>
      <c r="Q298" s="303"/>
      <c r="R298" s="303"/>
      <c r="S298" s="303"/>
      <c r="T298" s="303"/>
      <c r="U298" s="303"/>
      <c r="V298" s="303"/>
      <c r="W298" s="303"/>
      <c r="X298" s="303"/>
      <c r="Y298" s="303"/>
      <c r="Z298" s="303"/>
      <c r="AA298" s="303"/>
      <c r="AB298" s="303"/>
      <c r="AC298" s="304">
        <v>8400</v>
      </c>
      <c r="AD298" s="300">
        <v>8400</v>
      </c>
      <c r="AE298" s="300">
        <v>7830</v>
      </c>
      <c r="AF298" s="305">
        <v>7380</v>
      </c>
      <c r="AG298" s="313">
        <v>6500</v>
      </c>
      <c r="AH298" s="313">
        <v>6500</v>
      </c>
      <c r="AI298" s="313">
        <v>6500</v>
      </c>
      <c r="AJ298" s="294">
        <v>6480</v>
      </c>
      <c r="AK298" s="294">
        <v>6480</v>
      </c>
      <c r="AL298" s="294">
        <v>6630</v>
      </c>
      <c r="AM298" s="294">
        <v>5940</v>
      </c>
    </row>
    <row r="299" spans="1:52" x14ac:dyDescent="0.2">
      <c r="A299" s="294" t="s">
        <v>263</v>
      </c>
      <c r="B299" s="294" t="s">
        <v>262</v>
      </c>
      <c r="C299" s="294" t="s">
        <v>385</v>
      </c>
      <c r="D299" s="294" t="s">
        <v>399</v>
      </c>
      <c r="E299" s="304">
        <v>2280.8000000000002</v>
      </c>
      <c r="F299" s="300">
        <v>2280.8000000000002</v>
      </c>
      <c r="G299" s="300">
        <v>2280.8000000000002</v>
      </c>
      <c r="H299" s="303">
        <v>2281</v>
      </c>
      <c r="I299" s="303">
        <v>2281</v>
      </c>
      <c r="J299" s="303">
        <v>2621</v>
      </c>
      <c r="K299" s="303">
        <v>2512</v>
      </c>
      <c r="L299" s="303">
        <v>2522</v>
      </c>
      <c r="M299" s="303">
        <v>2265</v>
      </c>
      <c r="N299" s="303">
        <v>2025</v>
      </c>
      <c r="O299" s="303">
        <v>1792</v>
      </c>
      <c r="P299" s="303"/>
      <c r="Q299" s="303"/>
      <c r="R299" s="303"/>
      <c r="S299" s="303"/>
      <c r="T299" s="303"/>
      <c r="U299" s="303"/>
      <c r="V299" s="303"/>
      <c r="W299" s="303"/>
      <c r="X299" s="303"/>
      <c r="Y299" s="303"/>
      <c r="Z299" s="303"/>
      <c r="AA299" s="303"/>
      <c r="AB299" s="303"/>
      <c r="AC299" s="304">
        <v>13017</v>
      </c>
      <c r="AD299" s="300">
        <v>13018</v>
      </c>
      <c r="AE299" s="300">
        <v>13017.5</v>
      </c>
      <c r="AF299" s="305">
        <v>13018</v>
      </c>
      <c r="AG299" s="313">
        <v>13018</v>
      </c>
      <c r="AH299" s="313">
        <v>13356</v>
      </c>
      <c r="AI299" s="313">
        <v>12700</v>
      </c>
      <c r="AJ299" s="294">
        <v>12710</v>
      </c>
      <c r="AK299" s="294">
        <v>12045</v>
      </c>
      <c r="AL299" s="294">
        <v>10545</v>
      </c>
      <c r="AM299" s="294">
        <v>10312</v>
      </c>
    </row>
    <row r="300" spans="1:52" x14ac:dyDescent="0.2">
      <c r="A300" s="294" t="s">
        <v>263</v>
      </c>
      <c r="B300" s="294" t="s">
        <v>262</v>
      </c>
      <c r="C300" s="294" t="s">
        <v>385</v>
      </c>
      <c r="D300" s="294" t="s">
        <v>398</v>
      </c>
      <c r="E300" s="304">
        <v>4811</v>
      </c>
      <c r="F300" s="300">
        <v>4584</v>
      </c>
      <c r="G300" s="300">
        <v>4310.8599999999997</v>
      </c>
      <c r="H300" s="303">
        <v>4117</v>
      </c>
      <c r="I300" s="303">
        <v>3759</v>
      </c>
      <c r="J300" s="303">
        <v>3575</v>
      </c>
      <c r="K300" s="303">
        <v>3358</v>
      </c>
      <c r="L300" s="303">
        <v>3070</v>
      </c>
      <c r="M300" s="303">
        <v>2824</v>
      </c>
      <c r="N300" s="303">
        <v>2605</v>
      </c>
      <c r="O300" s="303">
        <v>2408</v>
      </c>
      <c r="P300" s="303"/>
      <c r="Q300" s="303"/>
      <c r="R300" s="303"/>
      <c r="S300" s="303"/>
      <c r="T300" s="303"/>
      <c r="U300" s="303"/>
      <c r="V300" s="303"/>
      <c r="W300" s="303"/>
      <c r="X300" s="303"/>
      <c r="Y300" s="303"/>
      <c r="Z300" s="303"/>
      <c r="AA300" s="303"/>
      <c r="AB300" s="303"/>
      <c r="AC300" s="304">
        <v>18671</v>
      </c>
      <c r="AD300" s="300">
        <v>18040</v>
      </c>
      <c r="AE300" s="300">
        <v>17053.36</v>
      </c>
      <c r="AF300" s="305">
        <v>15549</v>
      </c>
      <c r="AG300" s="313">
        <v>14883</v>
      </c>
      <c r="AH300" s="313">
        <v>14069</v>
      </c>
      <c r="AI300" s="313">
        <v>13211</v>
      </c>
      <c r="AJ300" s="294">
        <v>12590</v>
      </c>
      <c r="AK300" s="294">
        <v>11992</v>
      </c>
      <c r="AL300" s="294">
        <v>12119</v>
      </c>
      <c r="AM300" s="294">
        <v>10889</v>
      </c>
    </row>
    <row r="301" spans="1:52" x14ac:dyDescent="0.2">
      <c r="A301" s="294" t="s">
        <v>263</v>
      </c>
      <c r="B301" s="294" t="s">
        <v>262</v>
      </c>
      <c r="C301" s="294" t="s">
        <v>385</v>
      </c>
      <c r="D301" s="294" t="s">
        <v>397</v>
      </c>
      <c r="E301" s="304">
        <v>2500</v>
      </c>
      <c r="F301" s="300">
        <v>2230</v>
      </c>
      <c r="G301" s="300">
        <v>1890</v>
      </c>
      <c r="H301" s="303">
        <v>1890</v>
      </c>
      <c r="I301" s="303">
        <v>1860</v>
      </c>
      <c r="J301" s="303">
        <v>1860</v>
      </c>
      <c r="K301" s="303">
        <v>1770</v>
      </c>
      <c r="L301" s="303">
        <v>1990</v>
      </c>
      <c r="M301" s="303">
        <v>1530</v>
      </c>
      <c r="N301" s="303">
        <v>1530</v>
      </c>
      <c r="O301" s="303">
        <v>1862</v>
      </c>
      <c r="P301" s="303"/>
      <c r="Q301" s="303"/>
      <c r="R301" s="303"/>
      <c r="S301" s="303"/>
      <c r="T301" s="303"/>
      <c r="U301" s="303"/>
      <c r="V301" s="303"/>
      <c r="W301" s="303"/>
      <c r="X301" s="303"/>
      <c r="Y301" s="303"/>
      <c r="Z301" s="303"/>
      <c r="AA301" s="303"/>
      <c r="AB301" s="303"/>
      <c r="AC301" s="304">
        <v>13300</v>
      </c>
      <c r="AD301" s="300">
        <v>13480</v>
      </c>
      <c r="AE301" s="300">
        <v>12970</v>
      </c>
      <c r="AF301" s="305">
        <v>9690</v>
      </c>
      <c r="AG301" s="313">
        <v>9150</v>
      </c>
      <c r="AH301" s="313">
        <v>9150</v>
      </c>
      <c r="AI301" s="313">
        <v>8550</v>
      </c>
      <c r="AJ301" s="294">
        <v>8200</v>
      </c>
      <c r="AK301" s="294">
        <v>7230</v>
      </c>
      <c r="AL301" s="294">
        <v>7230</v>
      </c>
      <c r="AM301" s="294">
        <v>7760</v>
      </c>
    </row>
    <row r="302" spans="1:52" x14ac:dyDescent="0.2">
      <c r="A302" s="294" t="s">
        <v>263</v>
      </c>
      <c r="B302" s="294" t="s">
        <v>262</v>
      </c>
      <c r="C302" s="294" t="s">
        <v>385</v>
      </c>
      <c r="D302" s="294" t="s">
        <v>396</v>
      </c>
      <c r="E302" s="304">
        <v>4906</v>
      </c>
      <c r="F302" s="300">
        <v>4787</v>
      </c>
      <c r="G302" s="300">
        <v>4520.6000000000004</v>
      </c>
      <c r="H302" s="303">
        <v>4210</v>
      </c>
      <c r="I302" s="303">
        <v>3865</v>
      </c>
      <c r="J302" s="303">
        <v>3663</v>
      </c>
      <c r="K302" s="303">
        <v>3425</v>
      </c>
      <c r="L302" s="303">
        <v>3137</v>
      </c>
      <c r="M302" s="303">
        <v>2889</v>
      </c>
      <c r="N302" s="303">
        <v>2670</v>
      </c>
      <c r="O302" s="303">
        <v>2406</v>
      </c>
      <c r="P302" s="303"/>
      <c r="Q302" s="303"/>
      <c r="R302" s="303"/>
      <c r="S302" s="303"/>
      <c r="T302" s="303"/>
      <c r="U302" s="303"/>
      <c r="V302" s="303"/>
      <c r="W302" s="303"/>
      <c r="X302" s="303"/>
      <c r="Y302" s="303"/>
      <c r="Z302" s="303"/>
      <c r="AA302" s="303"/>
      <c r="AB302" s="303"/>
      <c r="AC302" s="304">
        <v>7885</v>
      </c>
      <c r="AD302" s="300">
        <v>7436</v>
      </c>
      <c r="AE302" s="300">
        <v>7445.6</v>
      </c>
      <c r="AF302" s="305">
        <v>6984</v>
      </c>
      <c r="AG302" s="313">
        <v>6984</v>
      </c>
      <c r="AH302" s="313">
        <v>6984</v>
      </c>
      <c r="AI302" s="313">
        <v>6543</v>
      </c>
      <c r="AJ302" s="294">
        <v>5972</v>
      </c>
      <c r="AK302" s="294">
        <v>5690</v>
      </c>
      <c r="AL302" s="294">
        <v>5408</v>
      </c>
      <c r="AM302" s="294">
        <v>10887</v>
      </c>
    </row>
    <row r="303" spans="1:52" x14ac:dyDescent="0.2">
      <c r="A303" s="294" t="s">
        <v>263</v>
      </c>
      <c r="B303" s="294" t="s">
        <v>262</v>
      </c>
      <c r="C303" s="294" t="s">
        <v>385</v>
      </c>
      <c r="D303" s="294" t="s">
        <v>395</v>
      </c>
      <c r="E303" s="304">
        <v>4733</v>
      </c>
      <c r="F303" s="300">
        <v>4611</v>
      </c>
      <c r="G303" s="300">
        <v>4357.4399999999996</v>
      </c>
      <c r="H303" s="303">
        <v>4163</v>
      </c>
      <c r="I303" s="303">
        <v>3774</v>
      </c>
      <c r="J303" s="303">
        <v>3568</v>
      </c>
      <c r="K303" s="303">
        <v>3354</v>
      </c>
      <c r="L303" s="303">
        <v>3066</v>
      </c>
      <c r="M303" s="303">
        <v>2795</v>
      </c>
      <c r="N303" s="303">
        <v>2576</v>
      </c>
      <c r="O303" s="303">
        <v>2330</v>
      </c>
      <c r="P303" s="303"/>
      <c r="Q303" s="303"/>
      <c r="R303" s="303"/>
      <c r="S303" s="303"/>
      <c r="T303" s="303"/>
      <c r="U303" s="303"/>
      <c r="V303" s="303"/>
      <c r="W303" s="303"/>
      <c r="X303" s="303"/>
      <c r="Y303" s="303"/>
      <c r="Z303" s="303"/>
      <c r="AA303" s="303"/>
      <c r="AB303" s="303"/>
      <c r="AC303" s="304">
        <v>18593</v>
      </c>
      <c r="AD303" s="300">
        <v>18050</v>
      </c>
      <c r="AE303" s="300">
        <v>17099.939999999999</v>
      </c>
      <c r="AF303" s="305">
        <v>15565</v>
      </c>
      <c r="AG303" s="313">
        <v>14898</v>
      </c>
      <c r="AH303" s="313">
        <v>14069</v>
      </c>
      <c r="AI303" s="313">
        <v>13207</v>
      </c>
      <c r="AJ303" s="294">
        <v>12586</v>
      </c>
      <c r="AK303" s="294">
        <v>11963</v>
      </c>
      <c r="AL303" s="294">
        <v>11378</v>
      </c>
      <c r="AM303" s="294">
        <v>10811</v>
      </c>
    </row>
    <row r="304" spans="1:52" x14ac:dyDescent="0.2">
      <c r="A304" s="294" t="s">
        <v>263</v>
      </c>
      <c r="B304" s="294" t="s">
        <v>262</v>
      </c>
      <c r="C304" s="294" t="s">
        <v>385</v>
      </c>
      <c r="D304" s="294" t="s">
        <v>394</v>
      </c>
      <c r="E304" s="304">
        <v>5541</v>
      </c>
      <c r="F304" s="300">
        <v>5436</v>
      </c>
      <c r="G304" s="300">
        <v>5131.32</v>
      </c>
      <c r="H304" s="303">
        <v>4916</v>
      </c>
      <c r="I304" s="303">
        <v>4385</v>
      </c>
      <c r="J304" s="303">
        <v>4112</v>
      </c>
      <c r="K304" s="303">
        <v>3819</v>
      </c>
      <c r="L304" s="303">
        <v>3525</v>
      </c>
      <c r="M304" s="303">
        <v>3088</v>
      </c>
      <c r="N304" s="303">
        <v>2869</v>
      </c>
      <c r="O304" s="303">
        <v>2399</v>
      </c>
      <c r="P304" s="303"/>
      <c r="Q304" s="303"/>
      <c r="R304" s="303"/>
      <c r="S304" s="303"/>
      <c r="T304" s="303"/>
      <c r="U304" s="303"/>
      <c r="V304" s="303"/>
      <c r="W304" s="303"/>
      <c r="X304" s="303"/>
      <c r="Y304" s="303"/>
      <c r="Z304" s="303"/>
      <c r="AA304" s="303"/>
      <c r="AB304" s="303"/>
      <c r="AC304" s="304">
        <v>19401</v>
      </c>
      <c r="AD304" s="300">
        <v>18849</v>
      </c>
      <c r="AE304" s="300">
        <v>17873.82</v>
      </c>
      <c r="AF304" s="305">
        <v>16204</v>
      </c>
      <c r="AG304" s="313">
        <v>15509</v>
      </c>
      <c r="AH304" s="313">
        <v>14605</v>
      </c>
      <c r="AI304" s="313">
        <v>13672</v>
      </c>
      <c r="AJ304" s="294">
        <v>13045</v>
      </c>
      <c r="AK304" s="294">
        <v>12256</v>
      </c>
      <c r="AL304" s="294">
        <v>11766</v>
      </c>
      <c r="AM304" s="294">
        <v>10880</v>
      </c>
    </row>
    <row r="305" spans="1:39" x14ac:dyDescent="0.2">
      <c r="A305" s="294" t="s">
        <v>263</v>
      </c>
      <c r="B305" s="294" t="s">
        <v>262</v>
      </c>
      <c r="C305" s="294" t="s">
        <v>385</v>
      </c>
      <c r="D305" s="294" t="s">
        <v>393</v>
      </c>
      <c r="E305" s="304">
        <v>4837</v>
      </c>
      <c r="F305" s="300">
        <v>4719</v>
      </c>
      <c r="G305" s="300">
        <v>4589.66</v>
      </c>
      <c r="H305" s="303">
        <v>4393</v>
      </c>
      <c r="I305" s="303">
        <v>3867</v>
      </c>
      <c r="J305" s="303">
        <v>3613</v>
      </c>
      <c r="K305" s="303">
        <v>3472</v>
      </c>
      <c r="L305" s="303">
        <v>3184</v>
      </c>
      <c r="M305" s="303">
        <v>2938</v>
      </c>
      <c r="N305" s="303">
        <v>2719</v>
      </c>
      <c r="O305" s="303">
        <v>2366</v>
      </c>
      <c r="P305" s="303"/>
      <c r="Q305" s="303"/>
      <c r="R305" s="303"/>
      <c r="S305" s="303"/>
      <c r="T305" s="303"/>
      <c r="U305" s="303"/>
      <c r="V305" s="303"/>
      <c r="W305" s="303"/>
      <c r="X305" s="303"/>
      <c r="Y305" s="303"/>
      <c r="Z305" s="303"/>
      <c r="AA305" s="303"/>
      <c r="AB305" s="303"/>
      <c r="AC305" s="304">
        <v>18697</v>
      </c>
      <c r="AD305" s="300">
        <v>18150</v>
      </c>
      <c r="AE305" s="300">
        <v>17332.16</v>
      </c>
      <c r="AF305" s="305">
        <v>15658</v>
      </c>
      <c r="AG305" s="313">
        <v>14991</v>
      </c>
      <c r="AH305" s="313">
        <v>14106</v>
      </c>
      <c r="AI305" s="313">
        <v>13325</v>
      </c>
      <c r="AJ305" s="294">
        <v>12704</v>
      </c>
      <c r="AK305" s="294">
        <v>12106</v>
      </c>
      <c r="AL305" s="294">
        <v>11544</v>
      </c>
      <c r="AM305" s="294">
        <v>10847</v>
      </c>
    </row>
    <row r="306" spans="1:39" x14ac:dyDescent="0.2">
      <c r="A306" s="294" t="s">
        <v>263</v>
      </c>
      <c r="B306" s="294" t="s">
        <v>262</v>
      </c>
      <c r="C306" s="294" t="s">
        <v>385</v>
      </c>
      <c r="D306" s="294" t="s">
        <v>392</v>
      </c>
      <c r="E306" s="304">
        <v>4898</v>
      </c>
      <c r="F306" s="300">
        <v>4773</v>
      </c>
      <c r="G306" s="300">
        <v>4523</v>
      </c>
      <c r="H306" s="303">
        <v>4329</v>
      </c>
      <c r="I306" s="303">
        <v>3990</v>
      </c>
      <c r="J306" s="303">
        <v>3785</v>
      </c>
      <c r="K306" s="303">
        <v>3594</v>
      </c>
      <c r="L306" s="303">
        <v>3282</v>
      </c>
      <c r="M306" s="303">
        <v>3031</v>
      </c>
      <c r="N306" s="303">
        <v>2812</v>
      </c>
      <c r="O306" s="303">
        <v>2566</v>
      </c>
      <c r="P306" s="303"/>
      <c r="Q306" s="303"/>
      <c r="R306" s="303"/>
      <c r="S306" s="303"/>
      <c r="T306" s="303"/>
      <c r="U306" s="303"/>
      <c r="V306" s="303"/>
      <c r="W306" s="303"/>
      <c r="X306" s="303"/>
      <c r="Y306" s="303"/>
      <c r="Z306" s="303"/>
      <c r="AA306" s="303"/>
      <c r="AB306" s="303"/>
      <c r="AC306" s="304">
        <v>7877</v>
      </c>
      <c r="AD306" s="300">
        <v>7650</v>
      </c>
      <c r="AE306" s="300">
        <v>7448</v>
      </c>
      <c r="AF306" s="305">
        <v>7113</v>
      </c>
      <c r="AG306" s="313">
        <v>7109</v>
      </c>
      <c r="AH306" s="313">
        <v>7106</v>
      </c>
      <c r="AI306" s="313">
        <v>6712</v>
      </c>
      <c r="AJ306" s="294">
        <v>10318</v>
      </c>
      <c r="AK306" s="294">
        <v>5832</v>
      </c>
      <c r="AL306" s="294">
        <v>5573</v>
      </c>
      <c r="AM306" s="294">
        <v>5145</v>
      </c>
    </row>
    <row r="307" spans="1:39" x14ac:dyDescent="0.2">
      <c r="A307" s="294" t="s">
        <v>263</v>
      </c>
      <c r="B307" s="294" t="s">
        <v>262</v>
      </c>
      <c r="C307" s="294" t="s">
        <v>385</v>
      </c>
      <c r="D307" s="294" t="s">
        <v>391</v>
      </c>
      <c r="E307" s="304">
        <v>4645</v>
      </c>
      <c r="F307" s="300">
        <v>4563</v>
      </c>
      <c r="G307" s="300">
        <v>4290.68</v>
      </c>
      <c r="H307" s="303">
        <v>4097</v>
      </c>
      <c r="I307" s="303">
        <v>3762</v>
      </c>
      <c r="J307" s="303">
        <v>3558</v>
      </c>
      <c r="K307" s="303">
        <v>3347</v>
      </c>
      <c r="L307" s="303">
        <v>3059</v>
      </c>
      <c r="M307" s="303">
        <v>2816</v>
      </c>
      <c r="N307" s="303">
        <v>2579</v>
      </c>
      <c r="O307" s="303">
        <v>2380</v>
      </c>
      <c r="P307" s="303"/>
      <c r="Q307" s="303"/>
      <c r="R307" s="303"/>
      <c r="S307" s="303"/>
      <c r="T307" s="303"/>
      <c r="U307" s="303"/>
      <c r="V307" s="303"/>
      <c r="W307" s="303"/>
      <c r="X307" s="303"/>
      <c r="Y307" s="303"/>
      <c r="Z307" s="303"/>
      <c r="AA307" s="303"/>
      <c r="AB307" s="303"/>
      <c r="AC307" s="304">
        <v>18505</v>
      </c>
      <c r="AD307" s="300">
        <v>17979</v>
      </c>
      <c r="AE307" s="300">
        <v>17033.18</v>
      </c>
      <c r="AF307" s="305">
        <v>15551</v>
      </c>
      <c r="AG307" s="313">
        <v>14886</v>
      </c>
      <c r="AH307" s="313">
        <v>14051</v>
      </c>
      <c r="AI307" s="313">
        <v>13200</v>
      </c>
      <c r="AJ307" s="294">
        <v>12579</v>
      </c>
      <c r="AK307" s="294">
        <v>11984</v>
      </c>
      <c r="AL307" s="294">
        <v>11400</v>
      </c>
      <c r="AM307" s="294">
        <v>10861</v>
      </c>
    </row>
    <row r="308" spans="1:39" x14ac:dyDescent="0.2">
      <c r="A308" s="294" t="s">
        <v>263</v>
      </c>
      <c r="B308" s="294" t="s">
        <v>262</v>
      </c>
      <c r="C308" s="294" t="s">
        <v>385</v>
      </c>
      <c r="D308" s="294" t="s">
        <v>390</v>
      </c>
      <c r="E308" s="304">
        <v>5072</v>
      </c>
      <c r="F308" s="300">
        <v>4976</v>
      </c>
      <c r="G308" s="300">
        <v>4710</v>
      </c>
      <c r="H308" s="303">
        <v>4515</v>
      </c>
      <c r="I308" s="303">
        <v>4184</v>
      </c>
      <c r="J308" s="303">
        <v>3979</v>
      </c>
      <c r="K308" s="303">
        <v>3747</v>
      </c>
      <c r="L308" s="303">
        <v>3459</v>
      </c>
      <c r="M308" s="303">
        <v>3261</v>
      </c>
      <c r="N308" s="303">
        <v>3042</v>
      </c>
      <c r="O308" s="303">
        <v>2807</v>
      </c>
      <c r="P308" s="303"/>
      <c r="Q308" s="303"/>
      <c r="R308" s="303"/>
      <c r="S308" s="303"/>
      <c r="T308" s="303"/>
      <c r="U308" s="303"/>
      <c r="V308" s="303"/>
      <c r="W308" s="303"/>
      <c r="X308" s="303"/>
      <c r="Y308" s="303"/>
      <c r="Z308" s="303"/>
      <c r="AA308" s="303"/>
      <c r="AB308" s="303"/>
      <c r="AC308" s="304">
        <v>8051</v>
      </c>
      <c r="AD308" s="300">
        <v>7833</v>
      </c>
      <c r="AE308" s="300">
        <v>7635</v>
      </c>
      <c r="AF308" s="305">
        <v>7303</v>
      </c>
      <c r="AG308" s="313">
        <v>12364</v>
      </c>
      <c r="AH308" s="313">
        <v>11695</v>
      </c>
      <c r="AI308" s="313">
        <v>10992</v>
      </c>
      <c r="AJ308" s="294">
        <v>10495</v>
      </c>
      <c r="AK308" s="294">
        <v>10064</v>
      </c>
      <c r="AL308" s="294">
        <v>9614</v>
      </c>
      <c r="AM308" s="294">
        <v>11288</v>
      </c>
    </row>
    <row r="309" spans="1:39" x14ac:dyDescent="0.2">
      <c r="A309" s="294" t="s">
        <v>263</v>
      </c>
      <c r="B309" s="294" t="s">
        <v>262</v>
      </c>
      <c r="C309" s="294" t="s">
        <v>385</v>
      </c>
      <c r="D309" s="294" t="s">
        <v>389</v>
      </c>
      <c r="E309" s="304">
        <v>4882</v>
      </c>
      <c r="F309" s="300">
        <v>4695</v>
      </c>
      <c r="G309" s="300">
        <v>4404.28</v>
      </c>
      <c r="H309" s="303">
        <v>4209</v>
      </c>
      <c r="I309" s="303">
        <v>3877</v>
      </c>
      <c r="J309" s="303">
        <v>3670</v>
      </c>
      <c r="K309" s="303">
        <v>3431</v>
      </c>
      <c r="L309" s="303">
        <v>3094</v>
      </c>
      <c r="M309" s="303">
        <v>2848</v>
      </c>
      <c r="N309" s="303">
        <v>2629</v>
      </c>
      <c r="O309" s="303">
        <v>2431</v>
      </c>
      <c r="P309" s="303"/>
      <c r="Q309" s="303"/>
      <c r="R309" s="303"/>
      <c r="S309" s="303"/>
      <c r="T309" s="303"/>
      <c r="U309" s="303"/>
      <c r="V309" s="303"/>
      <c r="W309" s="303"/>
      <c r="X309" s="303"/>
      <c r="Y309" s="303"/>
      <c r="Z309" s="303"/>
      <c r="AA309" s="303"/>
      <c r="AB309" s="303"/>
      <c r="AC309" s="304">
        <v>7861</v>
      </c>
      <c r="AD309" s="300">
        <v>7630</v>
      </c>
      <c r="AE309" s="300">
        <v>7329.28</v>
      </c>
      <c r="AF309" s="305">
        <v>7003</v>
      </c>
      <c r="AG309" s="313">
        <v>6996</v>
      </c>
      <c r="AH309" s="313">
        <v>6991</v>
      </c>
      <c r="AI309" s="313">
        <v>6549</v>
      </c>
      <c r="AJ309" s="294">
        <v>5925</v>
      </c>
      <c r="AK309" s="294">
        <v>5649</v>
      </c>
      <c r="AL309" s="294">
        <v>5389</v>
      </c>
      <c r="AM309" s="294">
        <v>5010</v>
      </c>
    </row>
    <row r="310" spans="1:39" x14ac:dyDescent="0.2">
      <c r="A310" s="294" t="s">
        <v>263</v>
      </c>
      <c r="B310" s="294" t="s">
        <v>262</v>
      </c>
      <c r="C310" s="294" t="s">
        <v>385</v>
      </c>
      <c r="D310" s="294" t="s">
        <v>388</v>
      </c>
      <c r="E310" s="304">
        <v>4812</v>
      </c>
      <c r="F310" s="300">
        <v>4651</v>
      </c>
      <c r="G310" s="300">
        <v>4413.5</v>
      </c>
      <c r="H310" s="303">
        <v>4218</v>
      </c>
      <c r="I310" s="303">
        <v>3873</v>
      </c>
      <c r="J310" s="303">
        <v>3666</v>
      </c>
      <c r="K310" s="303">
        <v>3445</v>
      </c>
      <c r="L310" s="303">
        <v>3157</v>
      </c>
      <c r="M310" s="303">
        <v>2899</v>
      </c>
      <c r="N310" s="303">
        <v>2680</v>
      </c>
      <c r="O310" s="303">
        <v>2436</v>
      </c>
      <c r="P310" s="303"/>
      <c r="Q310" s="303"/>
      <c r="R310" s="303"/>
      <c r="S310" s="303"/>
      <c r="T310" s="303"/>
      <c r="U310" s="303"/>
      <c r="V310" s="303"/>
      <c r="W310" s="303"/>
      <c r="X310" s="303"/>
      <c r="Y310" s="303"/>
      <c r="Z310" s="303"/>
      <c r="AA310" s="303"/>
      <c r="AB310" s="303"/>
      <c r="AC310" s="304">
        <v>18672</v>
      </c>
      <c r="AD310" s="300">
        <v>18108</v>
      </c>
      <c r="AE310" s="300">
        <v>17156</v>
      </c>
      <c r="AF310" s="305">
        <v>15667</v>
      </c>
      <c r="AG310" s="313">
        <v>14997</v>
      </c>
      <c r="AH310" s="313">
        <v>14159</v>
      </c>
      <c r="AI310" s="313">
        <v>13298</v>
      </c>
      <c r="AJ310" s="294">
        <v>12677</v>
      </c>
      <c r="AK310" s="294">
        <v>12067</v>
      </c>
      <c r="AL310" s="294">
        <v>11505</v>
      </c>
      <c r="AM310" s="294">
        <v>10917</v>
      </c>
    </row>
    <row r="311" spans="1:39" x14ac:dyDescent="0.2">
      <c r="A311" s="294" t="s">
        <v>263</v>
      </c>
      <c r="B311" s="294" t="s">
        <v>262</v>
      </c>
      <c r="C311" s="294" t="s">
        <v>385</v>
      </c>
      <c r="D311" s="294" t="s">
        <v>387</v>
      </c>
      <c r="E311" s="304">
        <v>5269</v>
      </c>
      <c r="F311" s="300">
        <v>5045</v>
      </c>
      <c r="G311" s="300">
        <v>4675.38</v>
      </c>
      <c r="H311" s="303">
        <v>4479</v>
      </c>
      <c r="I311" s="303">
        <v>4122</v>
      </c>
      <c r="J311" s="303">
        <v>3912</v>
      </c>
      <c r="K311" s="303">
        <v>3775</v>
      </c>
      <c r="L311" s="303">
        <v>3399</v>
      </c>
      <c r="M311" s="303">
        <v>2920</v>
      </c>
      <c r="N311" s="303">
        <v>2701</v>
      </c>
      <c r="O311" s="303">
        <v>2500</v>
      </c>
      <c r="P311" s="303"/>
      <c r="Q311" s="303"/>
      <c r="R311" s="303"/>
      <c r="S311" s="303"/>
      <c r="T311" s="303"/>
      <c r="U311" s="303"/>
      <c r="V311" s="303"/>
      <c r="W311" s="303"/>
      <c r="X311" s="303"/>
      <c r="Y311" s="303"/>
      <c r="Z311" s="303"/>
      <c r="AA311" s="303"/>
      <c r="AB311" s="303"/>
      <c r="AC311" s="304">
        <v>19129</v>
      </c>
      <c r="AD311" s="300">
        <v>18375</v>
      </c>
      <c r="AE311" s="300">
        <v>17417.88</v>
      </c>
      <c r="AF311" s="305">
        <v>15921</v>
      </c>
      <c r="AG311" s="313">
        <v>15246</v>
      </c>
      <c r="AH311" s="313">
        <v>14405</v>
      </c>
      <c r="AI311" s="313">
        <v>13628</v>
      </c>
      <c r="AJ311" s="294">
        <v>12919</v>
      </c>
      <c r="AK311" s="294">
        <v>12088</v>
      </c>
      <c r="AL311" s="294">
        <v>11522</v>
      </c>
      <c r="AM311" s="294">
        <v>10981</v>
      </c>
    </row>
    <row r="312" spans="1:39" x14ac:dyDescent="0.2">
      <c r="A312" s="294" t="s">
        <v>263</v>
      </c>
      <c r="B312" s="294" t="s">
        <v>262</v>
      </c>
      <c r="C312" s="294" t="s">
        <v>385</v>
      </c>
      <c r="D312" s="294" t="s">
        <v>386</v>
      </c>
      <c r="E312" s="304">
        <v>5015</v>
      </c>
      <c r="F312" s="300">
        <v>5096</v>
      </c>
      <c r="G312" s="300">
        <v>4637.4799999999996</v>
      </c>
      <c r="H312" s="303">
        <v>4213</v>
      </c>
      <c r="I312" s="303">
        <v>3871</v>
      </c>
      <c r="J312" s="303">
        <v>3668</v>
      </c>
      <c r="K312" s="303">
        <v>3419</v>
      </c>
      <c r="L312" s="303">
        <v>3131</v>
      </c>
      <c r="M312" s="303">
        <v>2885</v>
      </c>
      <c r="N312" s="303">
        <v>2666</v>
      </c>
      <c r="O312" s="303">
        <v>2446</v>
      </c>
      <c r="P312" s="303"/>
      <c r="Q312" s="303"/>
      <c r="R312" s="303"/>
      <c r="S312" s="303"/>
      <c r="T312" s="303"/>
      <c r="U312" s="303"/>
      <c r="V312" s="303"/>
      <c r="W312" s="303"/>
      <c r="X312" s="303"/>
      <c r="Y312" s="303"/>
      <c r="Z312" s="303"/>
      <c r="AA312" s="303"/>
      <c r="AB312" s="303"/>
      <c r="AC312" s="304">
        <v>18875</v>
      </c>
      <c r="AD312" s="300">
        <v>18332</v>
      </c>
      <c r="AE312" s="300">
        <v>17379.98</v>
      </c>
      <c r="AF312" s="305">
        <v>15663</v>
      </c>
      <c r="AG312" s="313">
        <v>14995</v>
      </c>
      <c r="AH312" s="313">
        <v>14161</v>
      </c>
      <c r="AI312" s="313">
        <v>13272</v>
      </c>
      <c r="AJ312" s="294">
        <v>12651</v>
      </c>
      <c r="AK312" s="294">
        <v>12053</v>
      </c>
      <c r="AL312" s="294">
        <v>11469</v>
      </c>
      <c r="AM312" s="294">
        <v>10927</v>
      </c>
    </row>
    <row r="313" spans="1:39" x14ac:dyDescent="0.2">
      <c r="A313" s="294" t="s">
        <v>263</v>
      </c>
      <c r="B313" s="294" t="s">
        <v>262</v>
      </c>
      <c r="C313" s="294" t="s">
        <v>385</v>
      </c>
      <c r="D313" s="294" t="s">
        <v>384</v>
      </c>
      <c r="E313" s="304">
        <v>4972</v>
      </c>
      <c r="F313" s="300">
        <v>4806</v>
      </c>
      <c r="G313" s="300">
        <v>4546</v>
      </c>
      <c r="H313" s="303">
        <v>4350</v>
      </c>
      <c r="I313" s="303">
        <v>4019</v>
      </c>
      <c r="J313" s="303">
        <v>3818</v>
      </c>
      <c r="K313" s="303">
        <v>3657</v>
      </c>
      <c r="L313" s="303">
        <v>3293</v>
      </c>
      <c r="M313" s="303">
        <v>3039</v>
      </c>
      <c r="N313" s="303">
        <v>2820</v>
      </c>
      <c r="O313" s="303">
        <v>2583</v>
      </c>
      <c r="P313" s="303"/>
      <c r="Q313" s="303"/>
      <c r="R313" s="303"/>
      <c r="S313" s="303"/>
      <c r="T313" s="303"/>
      <c r="U313" s="303"/>
      <c r="V313" s="303"/>
      <c r="W313" s="303"/>
      <c r="X313" s="303"/>
      <c r="Y313" s="303"/>
      <c r="Z313" s="303"/>
      <c r="AA313" s="303"/>
      <c r="AB313" s="303"/>
      <c r="AC313" s="304">
        <v>7951</v>
      </c>
      <c r="AD313" s="300">
        <v>7725</v>
      </c>
      <c r="AE313" s="300">
        <v>7471</v>
      </c>
      <c r="AF313" s="305">
        <v>7149</v>
      </c>
      <c r="AG313" s="313">
        <v>7138</v>
      </c>
      <c r="AH313" s="313">
        <v>7139</v>
      </c>
      <c r="AI313" s="313">
        <v>6775</v>
      </c>
      <c r="AJ313" s="294">
        <v>6128</v>
      </c>
      <c r="AK313" s="294">
        <v>5840</v>
      </c>
      <c r="AL313" s="294">
        <v>5580</v>
      </c>
      <c r="AM313" s="294">
        <v>11064</v>
      </c>
    </row>
    <row r="314" spans="1:39" x14ac:dyDescent="0.2">
      <c r="A314" s="294" t="s">
        <v>263</v>
      </c>
      <c r="C314" s="294" t="s">
        <v>377</v>
      </c>
      <c r="D314" s="294" t="s">
        <v>383</v>
      </c>
      <c r="E314" s="304">
        <v>3915</v>
      </c>
      <c r="F314" s="300">
        <v>3840</v>
      </c>
      <c r="G314" s="300">
        <v>3840</v>
      </c>
      <c r="H314" s="303">
        <v>3660</v>
      </c>
      <c r="I314" s="303">
        <v>3210</v>
      </c>
      <c r="J314" s="303">
        <v>3060</v>
      </c>
      <c r="K314" s="303">
        <v>2940</v>
      </c>
      <c r="L314" s="303">
        <v>2670</v>
      </c>
      <c r="M314" s="303">
        <v>1926</v>
      </c>
      <c r="N314" s="303">
        <v>1734</v>
      </c>
      <c r="O314" s="303">
        <v>1542</v>
      </c>
      <c r="P314" s="303"/>
      <c r="Q314" s="303"/>
      <c r="R314" s="303"/>
      <c r="S314" s="303"/>
      <c r="T314" s="303"/>
      <c r="U314" s="303"/>
      <c r="V314" s="303"/>
      <c r="W314" s="303"/>
      <c r="X314" s="303"/>
      <c r="Y314" s="303"/>
      <c r="Z314" s="303"/>
      <c r="AA314" s="303"/>
      <c r="AB314" s="303"/>
      <c r="AC314" s="304">
        <v>10335</v>
      </c>
      <c r="AD314" s="300">
        <v>10260</v>
      </c>
      <c r="AE314" s="300">
        <v>10260</v>
      </c>
      <c r="AF314" s="305">
        <v>9510</v>
      </c>
      <c r="AG314" s="313">
        <v>9254</v>
      </c>
      <c r="AH314" s="313">
        <v>9014</v>
      </c>
      <c r="AI314" s="313">
        <v>8834</v>
      </c>
      <c r="AJ314" s="294">
        <v>8564</v>
      </c>
      <c r="AK314" s="294">
        <v>6662</v>
      </c>
      <c r="AL314" s="294">
        <v>6470</v>
      </c>
      <c r="AM314" s="294">
        <v>6278</v>
      </c>
    </row>
    <row r="315" spans="1:39" x14ac:dyDescent="0.2">
      <c r="A315" s="294" t="s">
        <v>263</v>
      </c>
      <c r="C315" s="294" t="s">
        <v>377</v>
      </c>
      <c r="D315" s="294" t="s">
        <v>382</v>
      </c>
      <c r="E315" s="304">
        <v>3885</v>
      </c>
      <c r="F315" s="300">
        <v>3810</v>
      </c>
      <c r="G315" s="300">
        <v>3810</v>
      </c>
      <c r="H315" s="303">
        <v>3630</v>
      </c>
      <c r="I315" s="303">
        <v>3240</v>
      </c>
      <c r="J315" s="303">
        <v>3090</v>
      </c>
      <c r="K315" s="303">
        <v>2970</v>
      </c>
      <c r="L315" s="303">
        <v>2700</v>
      </c>
      <c r="M315" s="303">
        <v>1956</v>
      </c>
      <c r="N315" s="303">
        <v>1764</v>
      </c>
      <c r="O315" s="303">
        <v>1572</v>
      </c>
      <c r="P315" s="303"/>
      <c r="Q315" s="303"/>
      <c r="R315" s="303"/>
      <c r="S315" s="303"/>
      <c r="T315" s="303"/>
      <c r="U315" s="303"/>
      <c r="V315" s="303"/>
      <c r="W315" s="303"/>
      <c r="X315" s="303"/>
      <c r="Y315" s="303"/>
      <c r="Z315" s="303"/>
      <c r="AA315" s="303"/>
      <c r="AB315" s="303"/>
      <c r="AC315" s="304">
        <v>10305</v>
      </c>
      <c r="AD315" s="300">
        <v>10230</v>
      </c>
      <c r="AE315" s="300">
        <v>10230</v>
      </c>
      <c r="AF315" s="305">
        <v>9540</v>
      </c>
      <c r="AG315" s="313">
        <v>9150</v>
      </c>
      <c r="AH315" s="313">
        <v>8910</v>
      </c>
      <c r="AI315" s="313">
        <v>9730</v>
      </c>
      <c r="AJ315" s="294">
        <v>8460</v>
      </c>
      <c r="AK315" s="294">
        <v>6558</v>
      </c>
      <c r="AL315" s="294">
        <v>6366</v>
      </c>
      <c r="AM315" s="294">
        <v>6174</v>
      </c>
    </row>
    <row r="316" spans="1:39" x14ac:dyDescent="0.2">
      <c r="A316" s="294" t="s">
        <v>263</v>
      </c>
      <c r="C316" s="294" t="s">
        <v>377</v>
      </c>
      <c r="D316" s="294" t="s">
        <v>381</v>
      </c>
      <c r="E316" s="304">
        <v>3915</v>
      </c>
      <c r="F316" s="300">
        <v>3840</v>
      </c>
      <c r="G316" s="300">
        <v>3840</v>
      </c>
      <c r="H316" s="303">
        <v>3660</v>
      </c>
      <c r="I316" s="303">
        <v>3288</v>
      </c>
      <c r="J316" s="303">
        <v>3090</v>
      </c>
      <c r="K316" s="303">
        <v>2970</v>
      </c>
      <c r="L316" s="303">
        <v>2700</v>
      </c>
      <c r="M316" s="303">
        <v>1956</v>
      </c>
      <c r="N316" s="303">
        <v>1764</v>
      </c>
      <c r="O316" s="303">
        <v>1552</v>
      </c>
      <c r="P316" s="303"/>
      <c r="Q316" s="303"/>
      <c r="R316" s="303"/>
      <c r="S316" s="303"/>
      <c r="T316" s="303"/>
      <c r="U316" s="303"/>
      <c r="V316" s="303"/>
      <c r="W316" s="303"/>
      <c r="X316" s="303"/>
      <c r="Y316" s="303"/>
      <c r="Z316" s="303"/>
      <c r="AA316" s="303"/>
      <c r="AB316" s="303"/>
      <c r="AC316" s="304">
        <v>10335</v>
      </c>
      <c r="AD316" s="300">
        <v>10260</v>
      </c>
      <c r="AE316" s="300">
        <v>10260</v>
      </c>
      <c r="AF316" s="305">
        <v>9588</v>
      </c>
      <c r="AG316" s="313">
        <v>9180</v>
      </c>
      <c r="AH316" s="313">
        <v>8940</v>
      </c>
      <c r="AI316" s="313">
        <v>8760</v>
      </c>
      <c r="AJ316" s="294">
        <v>8490</v>
      </c>
      <c r="AK316" s="294">
        <v>6588</v>
      </c>
      <c r="AL316" s="294">
        <v>6396</v>
      </c>
      <c r="AM316" s="294">
        <v>6204</v>
      </c>
    </row>
    <row r="317" spans="1:39" x14ac:dyDescent="0.2">
      <c r="A317" s="294" t="s">
        <v>263</v>
      </c>
      <c r="C317" s="294" t="s">
        <v>377</v>
      </c>
      <c r="D317" s="294" t="s">
        <v>380</v>
      </c>
      <c r="E317" s="304">
        <v>3963</v>
      </c>
      <c r="F317" s="300">
        <v>3888</v>
      </c>
      <c r="G317" s="300">
        <v>3888</v>
      </c>
      <c r="H317" s="303">
        <v>3708</v>
      </c>
      <c r="I317" s="303">
        <v>3235</v>
      </c>
      <c r="J317" s="303">
        <v>3075</v>
      </c>
      <c r="K317" s="303">
        <v>2955</v>
      </c>
      <c r="L317" s="303">
        <v>2685</v>
      </c>
      <c r="M317" s="303">
        <v>1941</v>
      </c>
      <c r="N317" s="303">
        <v>1729</v>
      </c>
      <c r="O317" s="303">
        <v>1547</v>
      </c>
      <c r="P317" s="303"/>
      <c r="Q317" s="303"/>
      <c r="R317" s="303"/>
      <c r="S317" s="303"/>
      <c r="T317" s="303"/>
      <c r="U317" s="303"/>
      <c r="V317" s="303"/>
      <c r="W317" s="303"/>
      <c r="X317" s="303"/>
      <c r="Y317" s="303"/>
      <c r="Z317" s="303"/>
      <c r="AA317" s="303"/>
      <c r="AB317" s="303"/>
      <c r="AC317" s="304">
        <v>10383</v>
      </c>
      <c r="AD317" s="300">
        <v>10308</v>
      </c>
      <c r="AE317" s="300">
        <v>10308</v>
      </c>
      <c r="AF317" s="305">
        <v>9535</v>
      </c>
      <c r="AG317" s="313">
        <v>9228</v>
      </c>
      <c r="AH317" s="313">
        <v>8940</v>
      </c>
      <c r="AI317" s="313">
        <v>8760</v>
      </c>
      <c r="AJ317" s="294">
        <v>8490</v>
      </c>
      <c r="AK317" s="294">
        <v>6588</v>
      </c>
      <c r="AL317" s="294">
        <v>6396</v>
      </c>
      <c r="AM317" s="294">
        <v>6184</v>
      </c>
    </row>
    <row r="318" spans="1:39" x14ac:dyDescent="0.2">
      <c r="A318" s="294" t="s">
        <v>263</v>
      </c>
      <c r="C318" s="294" t="s">
        <v>377</v>
      </c>
      <c r="D318" s="294" t="s">
        <v>379</v>
      </c>
      <c r="E318" s="304">
        <v>3915</v>
      </c>
      <c r="F318" s="300">
        <v>3840</v>
      </c>
      <c r="G318" s="300">
        <v>3840</v>
      </c>
      <c r="H318" s="303">
        <v>3655</v>
      </c>
      <c r="I318" s="303">
        <v>3306</v>
      </c>
      <c r="J318" s="303">
        <v>3156</v>
      </c>
      <c r="K318" s="303">
        <v>3036</v>
      </c>
      <c r="L318" s="303">
        <v>2766</v>
      </c>
      <c r="M318" s="303">
        <v>2022</v>
      </c>
      <c r="N318" s="303">
        <v>1760</v>
      </c>
      <c r="O318" s="303">
        <v>1562</v>
      </c>
      <c r="P318" s="303"/>
      <c r="Q318" s="303"/>
      <c r="R318" s="303"/>
      <c r="S318" s="303"/>
      <c r="T318" s="303"/>
      <c r="U318" s="303"/>
      <c r="V318" s="303"/>
      <c r="W318" s="303"/>
      <c r="X318" s="303"/>
      <c r="Y318" s="303"/>
      <c r="Z318" s="303"/>
      <c r="AA318" s="303"/>
      <c r="AB318" s="303"/>
      <c r="AC318" s="304">
        <v>10335</v>
      </c>
      <c r="AD318" s="300">
        <v>10260</v>
      </c>
      <c r="AE318" s="300">
        <v>10260</v>
      </c>
      <c r="AF318" s="305">
        <v>9606</v>
      </c>
      <c r="AG318" s="313">
        <v>9175</v>
      </c>
      <c r="AH318" s="313">
        <v>8925</v>
      </c>
      <c r="AI318" s="313">
        <v>8745</v>
      </c>
      <c r="AJ318" s="294">
        <v>8475</v>
      </c>
      <c r="AK318" s="294">
        <v>6573</v>
      </c>
      <c r="AL318" s="294">
        <v>6361</v>
      </c>
      <c r="AM318" s="294">
        <v>6179</v>
      </c>
    </row>
    <row r="319" spans="1:39" x14ac:dyDescent="0.2">
      <c r="A319" s="294" t="s">
        <v>263</v>
      </c>
      <c r="C319" s="294" t="s">
        <v>377</v>
      </c>
      <c r="D319" s="294" t="s">
        <v>378</v>
      </c>
      <c r="E319" s="304">
        <v>3989</v>
      </c>
      <c r="F319" s="300">
        <v>3914</v>
      </c>
      <c r="G319" s="300">
        <v>3906</v>
      </c>
      <c r="H319" s="303">
        <v>3726</v>
      </c>
      <c r="I319" s="303">
        <v>3220</v>
      </c>
      <c r="J319" s="303">
        <v>3070</v>
      </c>
      <c r="K319" s="303">
        <v>2950</v>
      </c>
      <c r="L319" s="303">
        <v>2680</v>
      </c>
      <c r="M319" s="303">
        <v>1936</v>
      </c>
      <c r="N319" s="303">
        <v>1744</v>
      </c>
      <c r="O319" s="303">
        <v>1552</v>
      </c>
      <c r="P319" s="303"/>
      <c r="Q319" s="303"/>
      <c r="R319" s="303"/>
      <c r="S319" s="303"/>
      <c r="T319" s="303"/>
      <c r="U319" s="303"/>
      <c r="V319" s="303"/>
      <c r="W319" s="303"/>
      <c r="X319" s="303"/>
      <c r="Y319" s="303"/>
      <c r="Z319" s="303"/>
      <c r="AA319" s="303"/>
      <c r="AB319" s="303"/>
      <c r="AC319" s="304">
        <v>10409</v>
      </c>
      <c r="AD319" s="300">
        <v>10334</v>
      </c>
      <c r="AE319" s="300">
        <v>10326</v>
      </c>
      <c r="AF319" s="305">
        <v>9520</v>
      </c>
      <c r="AG319" s="313">
        <v>9246</v>
      </c>
      <c r="AH319" s="313">
        <v>12126</v>
      </c>
      <c r="AI319" s="313">
        <v>12126</v>
      </c>
      <c r="AJ319" s="294">
        <v>13356</v>
      </c>
      <c r="AK319" s="294">
        <v>9726</v>
      </c>
      <c r="AL319" s="294">
        <v>8696</v>
      </c>
      <c r="AM319" s="294">
        <v>7730</v>
      </c>
    </row>
    <row r="320" spans="1:39" x14ac:dyDescent="0.2">
      <c r="A320" s="294" t="s">
        <v>263</v>
      </c>
      <c r="C320" s="294" t="s">
        <v>377</v>
      </c>
      <c r="D320" s="294" t="s">
        <v>376</v>
      </c>
      <c r="E320" s="304">
        <v>3895</v>
      </c>
      <c r="F320" s="300">
        <v>3820</v>
      </c>
      <c r="G320" s="300">
        <v>3820</v>
      </c>
      <c r="H320" s="303">
        <v>3640</v>
      </c>
      <c r="I320" s="303">
        <v>2640</v>
      </c>
      <c r="J320" s="303">
        <v>2640</v>
      </c>
      <c r="K320" s="303">
        <v>2640</v>
      </c>
      <c r="L320" s="303">
        <v>2520</v>
      </c>
      <c r="M320" s="303">
        <v>2400</v>
      </c>
      <c r="N320" s="303">
        <v>2280</v>
      </c>
      <c r="O320" s="303">
        <v>2050</v>
      </c>
      <c r="P320" s="303"/>
      <c r="Q320" s="303"/>
      <c r="R320" s="303"/>
      <c r="S320" s="303"/>
      <c r="T320" s="303"/>
      <c r="U320" s="303"/>
      <c r="V320" s="303"/>
      <c r="W320" s="303"/>
      <c r="X320" s="303"/>
      <c r="Y320" s="303"/>
      <c r="Z320" s="303"/>
      <c r="AA320" s="303"/>
      <c r="AB320" s="303"/>
      <c r="AC320" s="304">
        <v>10315</v>
      </c>
      <c r="AD320" s="300">
        <v>10240</v>
      </c>
      <c r="AE320" s="300">
        <v>10240</v>
      </c>
      <c r="AF320" s="305">
        <v>6720</v>
      </c>
      <c r="AG320" s="313">
        <v>9160</v>
      </c>
      <c r="AH320" s="313">
        <v>8920</v>
      </c>
      <c r="AI320" s="313">
        <v>8740</v>
      </c>
      <c r="AJ320" s="294">
        <v>8470</v>
      </c>
      <c r="AK320" s="294">
        <v>6568</v>
      </c>
      <c r="AL320" s="294">
        <v>6376</v>
      </c>
      <c r="AM320" s="294">
        <v>6184</v>
      </c>
    </row>
    <row r="321" spans="1:39" x14ac:dyDescent="0.2">
      <c r="A321" s="294" t="s">
        <v>263</v>
      </c>
      <c r="B321" s="294" t="s">
        <v>262</v>
      </c>
      <c r="C321" s="294" t="s">
        <v>373</v>
      </c>
      <c r="D321" s="294" t="s">
        <v>375</v>
      </c>
      <c r="E321" s="304">
        <v>3900</v>
      </c>
      <c r="F321" s="300">
        <v>3900</v>
      </c>
      <c r="G321" s="300">
        <v>3900</v>
      </c>
      <c r="H321" s="303">
        <v>3600</v>
      </c>
      <c r="I321" s="303">
        <v>3015</v>
      </c>
      <c r="J321" s="303">
        <v>2648</v>
      </c>
      <c r="K321" s="303">
        <v>2152</v>
      </c>
      <c r="L321" s="303">
        <v>2038</v>
      </c>
      <c r="M321" s="303">
        <v>1880</v>
      </c>
      <c r="N321" s="303">
        <v>1666</v>
      </c>
      <c r="O321" s="303">
        <v>1758</v>
      </c>
      <c r="P321" s="303"/>
      <c r="Q321" s="303"/>
      <c r="R321" s="303"/>
      <c r="S321" s="303"/>
      <c r="T321" s="303"/>
      <c r="U321" s="303"/>
      <c r="V321" s="303"/>
      <c r="W321" s="303"/>
      <c r="X321" s="303"/>
      <c r="Y321" s="303"/>
      <c r="Z321" s="303"/>
      <c r="AA321" s="303"/>
      <c r="AB321" s="303"/>
      <c r="AC321" s="304">
        <v>7770</v>
      </c>
      <c r="AD321" s="300">
        <v>8400</v>
      </c>
      <c r="AE321" s="300">
        <v>8400</v>
      </c>
      <c r="AF321" s="305">
        <v>8502</v>
      </c>
      <c r="AG321" s="313">
        <v>6720</v>
      </c>
      <c r="AH321" s="313">
        <v>6720</v>
      </c>
      <c r="AI321" s="313">
        <v>6720</v>
      </c>
      <c r="AJ321" s="294">
        <v>6720</v>
      </c>
      <c r="AK321" s="294">
        <v>6720</v>
      </c>
      <c r="AL321" s="294">
        <v>6360</v>
      </c>
      <c r="AM321" s="294">
        <v>5600</v>
      </c>
    </row>
    <row r="322" spans="1:39" x14ac:dyDescent="0.2">
      <c r="A322" s="294" t="s">
        <v>263</v>
      </c>
      <c r="B322" s="294" t="s">
        <v>262</v>
      </c>
      <c r="C322" s="294" t="s">
        <v>373</v>
      </c>
      <c r="D322" s="294" t="s">
        <v>374</v>
      </c>
      <c r="E322" s="304">
        <v>4200</v>
      </c>
      <c r="F322" s="300">
        <v>2494</v>
      </c>
      <c r="G322" s="300">
        <v>2449</v>
      </c>
      <c r="H322" s="303">
        <v>2574</v>
      </c>
      <c r="I322" s="303">
        <v>2974</v>
      </c>
      <c r="J322" s="303">
        <v>2846</v>
      </c>
      <c r="K322" s="303">
        <v>2764</v>
      </c>
      <c r="L322" s="303">
        <v>2658</v>
      </c>
      <c r="M322" s="303">
        <v>2514</v>
      </c>
      <c r="N322" s="303">
        <v>2266</v>
      </c>
      <c r="O322" s="303">
        <v>2110</v>
      </c>
      <c r="P322" s="303"/>
      <c r="Q322" s="303"/>
      <c r="R322" s="303"/>
      <c r="S322" s="303"/>
      <c r="T322" s="303"/>
      <c r="U322" s="303"/>
      <c r="V322" s="303"/>
      <c r="W322" s="303"/>
      <c r="X322" s="303"/>
      <c r="Y322" s="303"/>
      <c r="Z322" s="303"/>
      <c r="AA322" s="303"/>
      <c r="AB322" s="303"/>
      <c r="AC322" s="304">
        <v>8550</v>
      </c>
      <c r="AD322" s="300">
        <v>9056</v>
      </c>
      <c r="AE322" s="300">
        <v>8851</v>
      </c>
      <c r="AF322" s="305">
        <v>9622</v>
      </c>
      <c r="AG322" s="313">
        <v>10815</v>
      </c>
      <c r="AH322" s="313">
        <v>10513</v>
      </c>
      <c r="AI322" s="313">
        <v>7298</v>
      </c>
      <c r="AJ322" s="294">
        <v>5098</v>
      </c>
      <c r="AK322" s="294">
        <v>6544</v>
      </c>
      <c r="AL322" s="294">
        <v>6108</v>
      </c>
      <c r="AM322" s="294">
        <v>5988</v>
      </c>
    </row>
    <row r="323" spans="1:39" x14ac:dyDescent="0.2">
      <c r="A323" s="294" t="s">
        <v>263</v>
      </c>
      <c r="B323" s="294" t="s">
        <v>262</v>
      </c>
      <c r="C323" s="294" t="s">
        <v>373</v>
      </c>
      <c r="D323" s="294" t="s">
        <v>372</v>
      </c>
      <c r="E323" s="304">
        <v>4245</v>
      </c>
      <c r="F323" s="300">
        <v>4200</v>
      </c>
      <c r="G323" s="300">
        <v>4110</v>
      </c>
      <c r="H323" s="303">
        <v>4012</v>
      </c>
      <c r="I323" s="303">
        <v>3113</v>
      </c>
      <c r="J323" s="303">
        <v>3083</v>
      </c>
      <c r="K323" s="303">
        <v>3083</v>
      </c>
      <c r="L323" s="303">
        <v>2856</v>
      </c>
      <c r="M323" s="303">
        <v>2736</v>
      </c>
      <c r="N323" s="303">
        <v>2736</v>
      </c>
      <c r="O323" s="303">
        <v>2736</v>
      </c>
      <c r="P323" s="303"/>
      <c r="Q323" s="303"/>
      <c r="R323" s="303"/>
      <c r="S323" s="303"/>
      <c r="T323" s="303"/>
      <c r="U323" s="303"/>
      <c r="V323" s="303"/>
      <c r="W323" s="303"/>
      <c r="X323" s="303"/>
      <c r="Y323" s="303"/>
      <c r="Z323" s="303"/>
      <c r="AA323" s="303"/>
      <c r="AB323" s="303"/>
      <c r="AC323" s="304">
        <v>10815</v>
      </c>
      <c r="AD323" s="300">
        <v>10350</v>
      </c>
      <c r="AE323" s="300">
        <v>10200</v>
      </c>
      <c r="AF323" s="305">
        <v>10319</v>
      </c>
      <c r="AG323" s="313">
        <v>7654</v>
      </c>
      <c r="AH323" s="313">
        <v>7534</v>
      </c>
      <c r="AI323" s="313">
        <v>7316</v>
      </c>
      <c r="AJ323" s="294">
        <v>7210</v>
      </c>
      <c r="AK323" s="294">
        <v>7066</v>
      </c>
      <c r="AL323" s="294">
        <v>6818</v>
      </c>
      <c r="AM323" s="294">
        <v>6562</v>
      </c>
    </row>
    <row r="324" spans="1:39" x14ac:dyDescent="0.2">
      <c r="A324" s="294" t="s">
        <v>263</v>
      </c>
      <c r="B324" s="294" t="s">
        <v>262</v>
      </c>
      <c r="C324" s="294" t="s">
        <v>363</v>
      </c>
      <c r="D324" s="294" t="s">
        <v>371</v>
      </c>
      <c r="E324" s="304">
        <v>3720</v>
      </c>
      <c r="F324" s="300">
        <v>3720</v>
      </c>
      <c r="G324" s="300">
        <v>3829.8</v>
      </c>
      <c r="H324" s="303">
        <v>3570</v>
      </c>
      <c r="I324" s="303">
        <v>3820</v>
      </c>
      <c r="J324" s="303">
        <v>3730</v>
      </c>
      <c r="K324" s="303">
        <v>3657</v>
      </c>
      <c r="L324" s="303">
        <v>3584</v>
      </c>
      <c r="M324" s="303">
        <v>3496</v>
      </c>
      <c r="N324" s="303">
        <v>3080</v>
      </c>
      <c r="O324" s="303">
        <v>3080</v>
      </c>
      <c r="P324" s="303"/>
      <c r="Q324" s="303"/>
      <c r="R324" s="303"/>
      <c r="S324" s="303"/>
      <c r="T324" s="303"/>
      <c r="U324" s="303"/>
      <c r="V324" s="303"/>
      <c r="W324" s="303"/>
      <c r="X324" s="303"/>
      <c r="Y324" s="303"/>
      <c r="Z324" s="303"/>
      <c r="AA324" s="303"/>
      <c r="AB324" s="303"/>
      <c r="AC324" s="304">
        <v>7770</v>
      </c>
      <c r="AD324" s="300">
        <v>7770</v>
      </c>
      <c r="AE324" s="300">
        <v>8170.6</v>
      </c>
      <c r="AF324" s="305">
        <v>10977</v>
      </c>
      <c r="AG324" s="313">
        <v>9165</v>
      </c>
      <c r="AH324" s="313">
        <v>9135</v>
      </c>
      <c r="AI324" s="313">
        <v>9135</v>
      </c>
      <c r="AJ324" s="294">
        <v>8619</v>
      </c>
      <c r="AK324" s="294">
        <v>8500</v>
      </c>
      <c r="AL324" s="294">
        <v>8500</v>
      </c>
      <c r="AM324" s="294">
        <v>8500</v>
      </c>
    </row>
    <row r="325" spans="1:39" x14ac:dyDescent="0.2">
      <c r="A325" s="294" t="s">
        <v>263</v>
      </c>
      <c r="B325" s="294" t="s">
        <v>262</v>
      </c>
      <c r="C325" s="294" t="s">
        <v>363</v>
      </c>
      <c r="D325" s="294" t="s">
        <v>370</v>
      </c>
      <c r="E325" s="304">
        <v>4808</v>
      </c>
      <c r="F325" s="300">
        <v>4637</v>
      </c>
      <c r="G325" s="300">
        <v>3630</v>
      </c>
      <c r="H325" s="303">
        <v>3965</v>
      </c>
      <c r="I325" s="303">
        <v>3810</v>
      </c>
      <c r="J325" s="303">
        <v>3720</v>
      </c>
      <c r="K325" s="303">
        <v>3630</v>
      </c>
      <c r="L325" s="303">
        <v>3420</v>
      </c>
      <c r="M325" s="303">
        <v>3420</v>
      </c>
      <c r="N325" s="303">
        <v>3420</v>
      </c>
      <c r="O325" s="303">
        <v>2420</v>
      </c>
      <c r="P325" s="303"/>
      <c r="Q325" s="303"/>
      <c r="R325" s="303"/>
      <c r="S325" s="303"/>
      <c r="T325" s="303"/>
      <c r="U325" s="303"/>
      <c r="V325" s="303"/>
      <c r="W325" s="303"/>
      <c r="X325" s="303"/>
      <c r="Y325" s="303"/>
      <c r="Z325" s="303"/>
      <c r="AA325" s="303"/>
      <c r="AB325" s="303"/>
      <c r="AC325" s="304">
        <v>11948</v>
      </c>
      <c r="AD325" s="300">
        <v>11777</v>
      </c>
      <c r="AE325" s="300">
        <v>7650</v>
      </c>
      <c r="AF325" s="305">
        <v>7860</v>
      </c>
      <c r="AG325" s="313">
        <v>10960</v>
      </c>
      <c r="AH325" s="313">
        <v>10870</v>
      </c>
      <c r="AI325" s="313">
        <v>10797</v>
      </c>
      <c r="AJ325" s="294">
        <v>10724</v>
      </c>
      <c r="AK325" s="294">
        <v>10636</v>
      </c>
      <c r="AL325" s="294">
        <v>9240</v>
      </c>
      <c r="AM325" s="294">
        <v>9240</v>
      </c>
    </row>
    <row r="326" spans="1:39" x14ac:dyDescent="0.2">
      <c r="A326" s="294" t="s">
        <v>263</v>
      </c>
      <c r="B326" s="294" t="s">
        <v>262</v>
      </c>
      <c r="C326" s="294" t="s">
        <v>363</v>
      </c>
      <c r="D326" s="294" t="s">
        <v>369</v>
      </c>
      <c r="E326" s="304">
        <v>4230</v>
      </c>
      <c r="F326" s="300">
        <v>4125</v>
      </c>
      <c r="G326" s="300">
        <v>4049.2</v>
      </c>
      <c r="H326" s="303">
        <v>3945</v>
      </c>
      <c r="I326" s="303">
        <v>3226</v>
      </c>
      <c r="J326" s="303">
        <v>3155</v>
      </c>
      <c r="K326" s="303">
        <v>3142</v>
      </c>
      <c r="L326" s="303">
        <v>3128</v>
      </c>
      <c r="M326" s="303">
        <v>3106</v>
      </c>
      <c r="N326" s="303">
        <v>3082</v>
      </c>
      <c r="O326" s="303">
        <v>3592</v>
      </c>
      <c r="P326" s="303"/>
      <c r="Q326" s="303"/>
      <c r="R326" s="303"/>
      <c r="S326" s="303"/>
      <c r="T326" s="303"/>
      <c r="U326" s="303"/>
      <c r="V326" s="303"/>
      <c r="W326" s="303"/>
      <c r="X326" s="303"/>
      <c r="Y326" s="303"/>
      <c r="Z326" s="303"/>
      <c r="AA326" s="303"/>
      <c r="AB326" s="303"/>
      <c r="AC326" s="304">
        <v>8820</v>
      </c>
      <c r="AD326" s="300">
        <v>11467</v>
      </c>
      <c r="AE326" s="300">
        <v>11189.2</v>
      </c>
      <c r="AF326" s="305">
        <v>7879</v>
      </c>
      <c r="AG326" s="313">
        <v>7650</v>
      </c>
      <c r="AH326" s="313">
        <v>7500</v>
      </c>
      <c r="AI326" s="313">
        <v>7380</v>
      </c>
      <c r="AJ326" s="294">
        <v>7080</v>
      </c>
      <c r="AK326" s="294">
        <v>7080</v>
      </c>
      <c r="AL326" s="294">
        <v>7830</v>
      </c>
      <c r="AM326" s="294">
        <v>7080</v>
      </c>
    </row>
    <row r="327" spans="1:39" x14ac:dyDescent="0.2">
      <c r="A327" s="294" t="s">
        <v>263</v>
      </c>
      <c r="B327" s="294" t="s">
        <v>262</v>
      </c>
      <c r="C327" s="294" t="s">
        <v>363</v>
      </c>
      <c r="D327" s="294" t="s">
        <v>368</v>
      </c>
      <c r="E327" s="304">
        <v>3568.2</v>
      </c>
      <c r="F327" s="300">
        <v>3443</v>
      </c>
      <c r="G327" s="300">
        <v>3160.8</v>
      </c>
      <c r="H327" s="303">
        <v>3810</v>
      </c>
      <c r="I327" s="303">
        <v>3765</v>
      </c>
      <c r="J327" s="303">
        <v>3747</v>
      </c>
      <c r="K327" s="303">
        <v>3719</v>
      </c>
      <c r="L327" s="303">
        <v>3693</v>
      </c>
      <c r="M327" s="303">
        <v>3661</v>
      </c>
      <c r="N327" s="303">
        <v>3630</v>
      </c>
      <c r="O327" s="303">
        <v>2982</v>
      </c>
      <c r="P327" s="303"/>
      <c r="Q327" s="303"/>
      <c r="R327" s="303"/>
      <c r="S327" s="303"/>
      <c r="T327" s="303"/>
      <c r="U327" s="303"/>
      <c r="V327" s="303"/>
      <c r="W327" s="303"/>
      <c r="X327" s="303"/>
      <c r="Y327" s="303"/>
      <c r="Z327" s="303"/>
      <c r="AA327" s="303"/>
      <c r="AB327" s="303"/>
      <c r="AC327" s="304">
        <v>9371.16</v>
      </c>
      <c r="AD327" s="300">
        <v>8973</v>
      </c>
      <c r="AE327" s="300">
        <v>10973.2</v>
      </c>
      <c r="AF327" s="305">
        <v>9346</v>
      </c>
      <c r="AG327" s="313">
        <v>8192</v>
      </c>
      <c r="AH327" s="313">
        <v>8120</v>
      </c>
      <c r="AI327" s="313">
        <v>8107</v>
      </c>
      <c r="AJ327" s="294">
        <v>8094</v>
      </c>
      <c r="AK327" s="294">
        <v>8048</v>
      </c>
      <c r="AL327" s="294">
        <v>8048</v>
      </c>
      <c r="AM327" s="294">
        <v>6904</v>
      </c>
    </row>
    <row r="328" spans="1:39" x14ac:dyDescent="0.2">
      <c r="A328" s="294" t="s">
        <v>263</v>
      </c>
      <c r="B328" s="294" t="s">
        <v>262</v>
      </c>
      <c r="C328" s="294" t="s">
        <v>363</v>
      </c>
      <c r="D328" s="294" t="s">
        <v>367</v>
      </c>
      <c r="E328" s="304">
        <v>3843</v>
      </c>
      <c r="F328" s="300">
        <v>3836</v>
      </c>
      <c r="G328" s="300">
        <v>3129.96</v>
      </c>
      <c r="H328" s="303">
        <v>3130</v>
      </c>
      <c r="I328" s="303">
        <v>3086</v>
      </c>
      <c r="J328" s="303">
        <v>3077</v>
      </c>
      <c r="K328" s="303">
        <v>3069</v>
      </c>
      <c r="L328" s="303">
        <v>3025</v>
      </c>
      <c r="M328" s="303">
        <v>3012</v>
      </c>
      <c r="N328" s="303">
        <v>3000</v>
      </c>
      <c r="O328" s="303">
        <v>3069</v>
      </c>
      <c r="P328" s="303"/>
      <c r="Q328" s="303"/>
      <c r="R328" s="303"/>
      <c r="S328" s="303"/>
      <c r="T328" s="303"/>
      <c r="U328" s="303"/>
      <c r="V328" s="303"/>
      <c r="W328" s="303"/>
      <c r="X328" s="303"/>
      <c r="Y328" s="303"/>
      <c r="Z328" s="303"/>
      <c r="AA328" s="303"/>
      <c r="AB328" s="303"/>
      <c r="AC328" s="301">
        <v>8869</v>
      </c>
      <c r="AD328" s="300">
        <v>8511</v>
      </c>
      <c r="AE328" s="300">
        <v>9381.48</v>
      </c>
      <c r="AF328" s="305">
        <v>8204</v>
      </c>
      <c r="AG328" s="313">
        <v>7742</v>
      </c>
      <c r="AH328" s="313">
        <v>7609</v>
      </c>
      <c r="AI328" s="313">
        <v>7575</v>
      </c>
      <c r="AJ328" s="294">
        <v>7543</v>
      </c>
      <c r="AK328" s="294">
        <v>7070</v>
      </c>
      <c r="AL328" s="294">
        <v>7070</v>
      </c>
      <c r="AM328" s="294">
        <v>8648</v>
      </c>
    </row>
    <row r="329" spans="1:39" x14ac:dyDescent="0.2">
      <c r="A329" s="294" t="s">
        <v>263</v>
      </c>
      <c r="B329" s="294" t="s">
        <v>262</v>
      </c>
      <c r="C329" s="294" t="s">
        <v>363</v>
      </c>
      <c r="D329" s="294" t="s">
        <v>366</v>
      </c>
      <c r="E329" s="304">
        <v>3385.96</v>
      </c>
      <c r="F329" s="300">
        <v>3255</v>
      </c>
      <c r="G329" s="300">
        <v>3079</v>
      </c>
      <c r="H329" s="303">
        <v>3303</v>
      </c>
      <c r="I329" s="303">
        <v>3061</v>
      </c>
      <c r="J329" s="303">
        <v>3061</v>
      </c>
      <c r="K329" s="303">
        <v>3061</v>
      </c>
      <c r="L329" s="303">
        <v>3061</v>
      </c>
      <c r="M329" s="303">
        <v>3028</v>
      </c>
      <c r="N329" s="303">
        <v>3026</v>
      </c>
      <c r="O329" s="303">
        <v>3298</v>
      </c>
      <c r="P329" s="303"/>
      <c r="Q329" s="303"/>
      <c r="R329" s="303"/>
      <c r="S329" s="303"/>
      <c r="T329" s="303"/>
      <c r="U329" s="303"/>
      <c r="V329" s="303"/>
      <c r="W329" s="303"/>
      <c r="X329" s="303"/>
      <c r="Y329" s="303"/>
      <c r="Z329" s="303"/>
      <c r="AA329" s="303"/>
      <c r="AB329" s="303"/>
      <c r="AC329" s="304">
        <v>10277.959999999999</v>
      </c>
      <c r="AD329" s="300">
        <v>9819</v>
      </c>
      <c r="AE329" s="300">
        <v>8379</v>
      </c>
      <c r="AF329" s="305">
        <v>8357</v>
      </c>
      <c r="AG329" s="313">
        <v>9338</v>
      </c>
      <c r="AH329" s="313">
        <v>9329</v>
      </c>
      <c r="AI329" s="313">
        <v>9321</v>
      </c>
      <c r="AJ329" s="294">
        <v>9277</v>
      </c>
      <c r="AK329" s="294">
        <v>8892</v>
      </c>
      <c r="AL329" s="294">
        <v>8892</v>
      </c>
      <c r="AM329" s="294">
        <v>7892</v>
      </c>
    </row>
    <row r="330" spans="1:39" x14ac:dyDescent="0.2">
      <c r="A330" s="294" t="s">
        <v>263</v>
      </c>
      <c r="B330" s="294" t="s">
        <v>262</v>
      </c>
      <c r="C330" s="294" t="s">
        <v>363</v>
      </c>
      <c r="D330" s="294" t="s">
        <v>365</v>
      </c>
      <c r="E330" s="304">
        <v>3349</v>
      </c>
      <c r="F330" s="300">
        <v>3229</v>
      </c>
      <c r="G330" s="300">
        <v>3324.12</v>
      </c>
      <c r="H330" s="303">
        <v>3070</v>
      </c>
      <c r="I330" s="303">
        <v>3460</v>
      </c>
      <c r="J330" s="303">
        <v>3404</v>
      </c>
      <c r="K330" s="303">
        <v>3392</v>
      </c>
      <c r="L330" s="303">
        <v>3369</v>
      </c>
      <c r="M330" s="303">
        <v>3351</v>
      </c>
      <c r="N330" s="303">
        <v>3322</v>
      </c>
      <c r="O330" s="303">
        <v>3297</v>
      </c>
      <c r="P330" s="303"/>
      <c r="Q330" s="303"/>
      <c r="R330" s="303"/>
      <c r="S330" s="303"/>
      <c r="T330" s="303"/>
      <c r="U330" s="303"/>
      <c r="V330" s="303"/>
      <c r="W330" s="303"/>
      <c r="X330" s="303"/>
      <c r="Y330" s="303"/>
      <c r="Z330" s="303"/>
      <c r="AA330" s="303"/>
      <c r="AB330" s="303"/>
      <c r="AC330" s="304">
        <v>9169</v>
      </c>
      <c r="AD330" s="300">
        <v>8789</v>
      </c>
      <c r="AE330" s="300">
        <v>8595</v>
      </c>
      <c r="AF330" s="305">
        <v>11792</v>
      </c>
      <c r="AG330" s="313">
        <v>8357</v>
      </c>
      <c r="AH330" s="313">
        <v>8357</v>
      </c>
      <c r="AI330" s="313">
        <v>8357</v>
      </c>
      <c r="AJ330" s="294">
        <v>8057</v>
      </c>
      <c r="AK330" s="294">
        <v>8020</v>
      </c>
      <c r="AL330" s="294">
        <v>8020</v>
      </c>
      <c r="AM330" s="294">
        <v>8960</v>
      </c>
    </row>
    <row r="331" spans="1:39" x14ac:dyDescent="0.2">
      <c r="A331" s="294" t="s">
        <v>263</v>
      </c>
      <c r="B331" s="294" t="s">
        <v>262</v>
      </c>
      <c r="C331" s="294" t="s">
        <v>363</v>
      </c>
      <c r="D331" s="294" t="s">
        <v>364</v>
      </c>
      <c r="E331" s="304">
        <v>3886.38</v>
      </c>
      <c r="F331" s="300">
        <v>3745</v>
      </c>
      <c r="G331" s="300">
        <v>3990</v>
      </c>
      <c r="H331" s="303">
        <v>3543</v>
      </c>
      <c r="I331" s="303"/>
      <c r="J331" s="303"/>
      <c r="K331" s="303"/>
      <c r="L331" s="303"/>
      <c r="M331" s="303"/>
      <c r="N331" s="303"/>
      <c r="O331" s="303"/>
      <c r="P331" s="303"/>
      <c r="Q331" s="303"/>
      <c r="R331" s="303"/>
      <c r="S331" s="303"/>
      <c r="T331" s="303"/>
      <c r="U331" s="303"/>
      <c r="V331" s="303"/>
      <c r="W331" s="303"/>
      <c r="X331" s="303"/>
      <c r="Y331" s="303"/>
      <c r="Z331" s="303"/>
      <c r="AA331" s="303"/>
      <c r="AB331" s="303"/>
      <c r="AC331" s="304">
        <v>13735.26</v>
      </c>
      <c r="AD331" s="300">
        <v>13129</v>
      </c>
      <c r="AE331" s="300">
        <v>8310</v>
      </c>
      <c r="AF331" s="305">
        <v>10101</v>
      </c>
      <c r="AG331" s="313">
        <v>11446</v>
      </c>
      <c r="AH331" s="313">
        <v>11090</v>
      </c>
      <c r="AI331" s="313">
        <v>11078</v>
      </c>
      <c r="AJ331" s="294">
        <v>11055</v>
      </c>
      <c r="AK331" s="294">
        <v>9502</v>
      </c>
      <c r="AL331" s="294">
        <v>9502</v>
      </c>
      <c r="AM331" s="294">
        <v>8959</v>
      </c>
    </row>
    <row r="332" spans="1:39" x14ac:dyDescent="0.2">
      <c r="A332" s="294" t="s">
        <v>263</v>
      </c>
      <c r="B332" s="294" t="s">
        <v>262</v>
      </c>
      <c r="C332" s="294" t="s">
        <v>363</v>
      </c>
      <c r="D332" s="294" t="s">
        <v>362</v>
      </c>
      <c r="E332" s="304">
        <v>3404.4</v>
      </c>
      <c r="F332" s="300">
        <v>3280</v>
      </c>
      <c r="G332" s="300">
        <v>3587.58</v>
      </c>
      <c r="H332" s="303">
        <v>3144</v>
      </c>
      <c r="I332" s="303">
        <v>4173</v>
      </c>
      <c r="J332" s="303">
        <v>3998</v>
      </c>
      <c r="K332" s="303">
        <v>4007</v>
      </c>
      <c r="L332" s="303">
        <v>4029</v>
      </c>
      <c r="M332" s="303">
        <v>4029</v>
      </c>
      <c r="N332" s="303">
        <v>3933</v>
      </c>
      <c r="O332" s="303">
        <v>3773</v>
      </c>
      <c r="P332" s="303"/>
      <c r="Q332" s="303"/>
      <c r="R332" s="303"/>
      <c r="S332" s="303"/>
      <c r="T332" s="303"/>
      <c r="U332" s="303"/>
      <c r="V332" s="303"/>
      <c r="W332" s="303"/>
      <c r="X332" s="303"/>
      <c r="Y332" s="303"/>
      <c r="Z332" s="303"/>
      <c r="AA332" s="303"/>
      <c r="AB332" s="303"/>
      <c r="AC332" s="304">
        <v>11986.8</v>
      </c>
      <c r="AD332" s="300">
        <v>11467</v>
      </c>
      <c r="AE332" s="300">
        <v>12527.58</v>
      </c>
      <c r="AF332" s="305">
        <v>10084</v>
      </c>
      <c r="AG332" s="313"/>
      <c r="AH332" s="313"/>
      <c r="AI332" s="313"/>
    </row>
    <row r="333" spans="1:39" x14ac:dyDescent="0.2">
      <c r="A333" s="294" t="s">
        <v>263</v>
      </c>
      <c r="C333" s="294" t="s">
        <v>357</v>
      </c>
      <c r="D333" s="294" t="s">
        <v>361</v>
      </c>
      <c r="E333" s="304">
        <v>4790</v>
      </c>
      <c r="F333" s="300">
        <v>4591</v>
      </c>
      <c r="G333" s="300">
        <v>4388</v>
      </c>
      <c r="H333" s="303">
        <v>4320</v>
      </c>
      <c r="I333" s="303"/>
      <c r="J333" s="303"/>
      <c r="K333" s="303"/>
      <c r="L333" s="303"/>
      <c r="M333" s="303"/>
      <c r="N333" s="303"/>
      <c r="O333" s="303"/>
      <c r="P333" s="303"/>
      <c r="Q333" s="303"/>
      <c r="R333" s="303"/>
      <c r="S333" s="303"/>
      <c r="T333" s="303"/>
      <c r="U333" s="303"/>
      <c r="V333" s="303"/>
      <c r="W333" s="303"/>
      <c r="X333" s="303"/>
      <c r="Y333" s="303"/>
      <c r="Z333" s="303"/>
      <c r="AA333" s="303"/>
      <c r="AB333" s="303"/>
      <c r="AC333" s="304">
        <v>6785</v>
      </c>
      <c r="AD333" s="300">
        <v>10920</v>
      </c>
      <c r="AE333" s="300">
        <v>10474</v>
      </c>
      <c r="AF333" s="305">
        <v>10293</v>
      </c>
      <c r="AG333" s="313">
        <v>9904</v>
      </c>
      <c r="AH333" s="313">
        <v>9616</v>
      </c>
      <c r="AI333" s="313">
        <v>9625</v>
      </c>
      <c r="AJ333" s="294">
        <v>9647</v>
      </c>
      <c r="AK333" s="294">
        <v>9647</v>
      </c>
      <c r="AL333" s="294">
        <v>9551</v>
      </c>
      <c r="AM333" s="294">
        <v>9124</v>
      </c>
    </row>
    <row r="334" spans="1:39" x14ac:dyDescent="0.2">
      <c r="A334" s="294" t="s">
        <v>263</v>
      </c>
      <c r="C334" s="294" t="s">
        <v>357</v>
      </c>
      <c r="D334" s="294" t="s">
        <v>360</v>
      </c>
      <c r="E334" s="304">
        <v>4475</v>
      </c>
      <c r="F334" s="300">
        <v>4336</v>
      </c>
      <c r="G334" s="300">
        <v>4281</v>
      </c>
      <c r="H334" s="303">
        <v>4181</v>
      </c>
      <c r="I334" s="303">
        <v>4003</v>
      </c>
      <c r="J334" s="303">
        <v>3908</v>
      </c>
      <c r="K334" s="303">
        <v>3908</v>
      </c>
      <c r="L334" s="303">
        <v>3908</v>
      </c>
      <c r="M334" s="303">
        <v>3908</v>
      </c>
      <c r="N334" s="303">
        <v>3908</v>
      </c>
      <c r="O334" s="303">
        <v>3695</v>
      </c>
      <c r="P334" s="303"/>
      <c r="Q334" s="303"/>
      <c r="R334" s="303"/>
      <c r="S334" s="303"/>
      <c r="T334" s="303"/>
      <c r="U334" s="303"/>
      <c r="V334" s="303"/>
      <c r="W334" s="303"/>
      <c r="X334" s="303"/>
      <c r="Y334" s="303"/>
      <c r="Z334" s="303"/>
      <c r="AA334" s="303"/>
      <c r="AB334" s="303"/>
      <c r="AC334" s="304">
        <v>4475</v>
      </c>
      <c r="AD334" s="300">
        <v>4336</v>
      </c>
      <c r="AE334" s="300">
        <v>6015</v>
      </c>
      <c r="AF334" s="305">
        <v>5872</v>
      </c>
      <c r="AG334" s="313">
        <v>4003</v>
      </c>
      <c r="AH334" s="313">
        <v>3908</v>
      </c>
      <c r="AI334" s="313">
        <v>3908</v>
      </c>
      <c r="AJ334" s="294">
        <v>3908</v>
      </c>
      <c r="AK334" s="294">
        <v>3908</v>
      </c>
      <c r="AL334" s="294">
        <v>3908</v>
      </c>
      <c r="AM334" s="294">
        <v>9051</v>
      </c>
    </row>
    <row r="335" spans="1:39" x14ac:dyDescent="0.2">
      <c r="A335" s="294" t="s">
        <v>263</v>
      </c>
      <c r="C335" s="294" t="s">
        <v>357</v>
      </c>
      <c r="D335" s="294" t="s">
        <v>359</v>
      </c>
      <c r="E335" s="304">
        <v>4568</v>
      </c>
      <c r="F335" s="300">
        <v>4419</v>
      </c>
      <c r="G335" s="300">
        <v>4203</v>
      </c>
      <c r="H335" s="303">
        <v>4138</v>
      </c>
      <c r="I335" s="303">
        <v>4020</v>
      </c>
      <c r="J335" s="303">
        <v>3887</v>
      </c>
      <c r="K335" s="303">
        <v>3857</v>
      </c>
      <c r="L335" s="303">
        <v>3857</v>
      </c>
      <c r="M335" s="303">
        <v>3837</v>
      </c>
      <c r="N335" s="303">
        <v>3802</v>
      </c>
      <c r="O335" s="303">
        <v>3762</v>
      </c>
      <c r="P335" s="303"/>
      <c r="Q335" s="303"/>
      <c r="R335" s="303"/>
      <c r="S335" s="303"/>
      <c r="T335" s="303"/>
      <c r="U335" s="303"/>
      <c r="V335" s="303"/>
      <c r="W335" s="303"/>
      <c r="X335" s="303"/>
      <c r="Y335" s="303"/>
      <c r="Z335" s="303"/>
      <c r="AA335" s="303"/>
      <c r="AB335" s="303"/>
      <c r="AC335" s="304">
        <v>6444</v>
      </c>
      <c r="AD335" s="300">
        <v>6223</v>
      </c>
      <c r="AE335" s="300">
        <v>4203</v>
      </c>
      <c r="AF335" s="305">
        <v>4138</v>
      </c>
      <c r="AG335" s="313">
        <v>5631</v>
      </c>
      <c r="AH335" s="313">
        <v>5447</v>
      </c>
      <c r="AI335" s="313">
        <v>5417</v>
      </c>
      <c r="AJ335" s="294">
        <v>5417</v>
      </c>
      <c r="AK335" s="294">
        <v>5397</v>
      </c>
      <c r="AL335" s="294">
        <v>5362</v>
      </c>
      <c r="AM335" s="294">
        <v>3762</v>
      </c>
    </row>
    <row r="336" spans="1:39" x14ac:dyDescent="0.2">
      <c r="A336" s="294" t="s">
        <v>263</v>
      </c>
      <c r="C336" s="294" t="s">
        <v>357</v>
      </c>
      <c r="D336" s="294" t="s">
        <v>358</v>
      </c>
      <c r="E336" s="304">
        <v>4812</v>
      </c>
      <c r="F336" s="300">
        <v>4617</v>
      </c>
      <c r="G336" s="300">
        <v>4446</v>
      </c>
      <c r="H336" s="303">
        <v>4326</v>
      </c>
      <c r="I336" s="303">
        <v>4094</v>
      </c>
      <c r="J336" s="303">
        <v>3953</v>
      </c>
      <c r="K336" s="303">
        <v>3921</v>
      </c>
      <c r="L336" s="303">
        <v>3913</v>
      </c>
      <c r="M336" s="303">
        <v>3890</v>
      </c>
      <c r="N336" s="303">
        <v>3875</v>
      </c>
      <c r="O336" s="303">
        <v>3634</v>
      </c>
      <c r="P336" s="303"/>
      <c r="Q336" s="303"/>
      <c r="R336" s="303"/>
      <c r="S336" s="303"/>
      <c r="T336" s="303"/>
      <c r="U336" s="303"/>
      <c r="V336" s="303"/>
      <c r="W336" s="303"/>
      <c r="X336" s="303"/>
      <c r="Y336" s="303"/>
      <c r="Z336" s="303"/>
      <c r="AA336" s="303"/>
      <c r="AB336" s="303"/>
      <c r="AC336" s="304">
        <v>11628</v>
      </c>
      <c r="AD336" s="300">
        <v>11171</v>
      </c>
      <c r="AE336" s="300">
        <v>10748</v>
      </c>
      <c r="AF336" s="305">
        <v>10474</v>
      </c>
      <c r="AG336" s="313">
        <v>9902</v>
      </c>
      <c r="AH336" s="313">
        <v>9576</v>
      </c>
      <c r="AI336" s="313">
        <v>9544</v>
      </c>
      <c r="AJ336" s="294">
        <v>9535</v>
      </c>
      <c r="AK336" s="294">
        <v>9512</v>
      </c>
      <c r="AL336" s="294">
        <v>9497</v>
      </c>
      <c r="AM336" s="294">
        <v>5120</v>
      </c>
    </row>
    <row r="337" spans="1:52" x14ac:dyDescent="0.2">
      <c r="A337" s="294" t="s">
        <v>263</v>
      </c>
      <c r="C337" s="294" t="s">
        <v>357</v>
      </c>
      <c r="D337" s="294" t="s">
        <v>356</v>
      </c>
      <c r="E337" s="304">
        <v>5304</v>
      </c>
      <c r="F337" s="300">
        <v>5163</v>
      </c>
      <c r="G337" s="300">
        <v>5027</v>
      </c>
      <c r="H337" s="303">
        <v>5234</v>
      </c>
      <c r="I337" s="303">
        <v>4140</v>
      </c>
      <c r="J337" s="303">
        <v>4140</v>
      </c>
      <c r="K337" s="303">
        <v>3811</v>
      </c>
      <c r="L337" s="303">
        <v>3456</v>
      </c>
      <c r="M337" s="303">
        <v>3378</v>
      </c>
      <c r="N337" s="303">
        <v>3378</v>
      </c>
      <c r="O337" s="303">
        <v>3219</v>
      </c>
      <c r="P337" s="303"/>
      <c r="Q337" s="303"/>
      <c r="R337" s="303"/>
      <c r="S337" s="303"/>
      <c r="T337" s="303"/>
      <c r="U337" s="303"/>
      <c r="V337" s="303"/>
      <c r="W337" s="303"/>
      <c r="X337" s="303"/>
      <c r="Y337" s="303"/>
      <c r="Z337" s="303"/>
      <c r="AA337" s="303"/>
      <c r="AB337" s="303"/>
      <c r="AC337" s="304">
        <v>5304</v>
      </c>
      <c r="AD337" s="300">
        <v>5163</v>
      </c>
      <c r="AE337" s="300">
        <v>5027</v>
      </c>
      <c r="AF337" s="305">
        <v>5234</v>
      </c>
      <c r="AG337" s="313">
        <v>4140</v>
      </c>
      <c r="AH337" s="313">
        <v>4140</v>
      </c>
      <c r="AI337" s="313">
        <v>3811</v>
      </c>
      <c r="AJ337" s="294">
        <v>3456</v>
      </c>
      <c r="AK337" s="294">
        <v>4687</v>
      </c>
      <c r="AL337" s="294">
        <v>4687</v>
      </c>
      <c r="AM337" s="294">
        <v>4466</v>
      </c>
    </row>
    <row r="338" spans="1:52" x14ac:dyDescent="0.2">
      <c r="A338" s="294" t="s">
        <v>263</v>
      </c>
      <c r="B338" s="294" t="s">
        <v>262</v>
      </c>
      <c r="C338" s="294" t="s">
        <v>338</v>
      </c>
      <c r="D338" s="294" t="s">
        <v>355</v>
      </c>
      <c r="E338" s="304">
        <v>1626</v>
      </c>
      <c r="F338" s="300">
        <v>1578</v>
      </c>
      <c r="G338" s="300">
        <v>1472</v>
      </c>
      <c r="H338" s="303">
        <v>1400</v>
      </c>
      <c r="I338" s="303">
        <v>1364</v>
      </c>
      <c r="J338" s="303">
        <v>1310</v>
      </c>
      <c r="K338" s="303">
        <v>1310</v>
      </c>
      <c r="L338" s="303">
        <v>1208</v>
      </c>
      <c r="M338" s="303">
        <v>1136</v>
      </c>
      <c r="N338" s="303">
        <v>1064</v>
      </c>
      <c r="O338" s="303"/>
      <c r="P338" s="303"/>
      <c r="Q338" s="303"/>
      <c r="R338" s="303"/>
      <c r="S338" s="303"/>
      <c r="T338" s="303"/>
      <c r="U338" s="303"/>
      <c r="V338" s="303"/>
      <c r="W338" s="303"/>
      <c r="X338" s="303"/>
      <c r="Y338" s="303"/>
      <c r="Z338" s="303"/>
      <c r="AA338" s="303"/>
      <c r="AB338" s="303"/>
      <c r="AC338" s="304">
        <v>7338</v>
      </c>
      <c r="AD338" s="300">
        <v>7170</v>
      </c>
      <c r="AE338" s="300">
        <v>6848</v>
      </c>
      <c r="AF338" s="305">
        <v>6656</v>
      </c>
      <c r="AG338" s="313">
        <v>6656</v>
      </c>
      <c r="AH338" s="313">
        <v>6464</v>
      </c>
      <c r="AI338" s="313">
        <v>6169</v>
      </c>
      <c r="AJ338" s="294">
        <v>5384</v>
      </c>
      <c r="AK338" s="294">
        <v>4952</v>
      </c>
      <c r="AL338" s="294">
        <v>4880</v>
      </c>
      <c r="AM338" s="294">
        <v>5377</v>
      </c>
      <c r="AZ338" s="312"/>
    </row>
    <row r="339" spans="1:52" x14ac:dyDescent="0.2">
      <c r="A339" s="294" t="s">
        <v>263</v>
      </c>
      <c r="B339" s="294" t="s">
        <v>262</v>
      </c>
      <c r="C339" s="294" t="s">
        <v>338</v>
      </c>
      <c r="D339" s="294" t="s">
        <v>354</v>
      </c>
      <c r="E339" s="304">
        <v>1376</v>
      </c>
      <c r="F339" s="300">
        <v>1376</v>
      </c>
      <c r="G339" s="300">
        <v>1256</v>
      </c>
      <c r="H339" s="303">
        <v>1216</v>
      </c>
      <c r="I339" s="303">
        <v>1216</v>
      </c>
      <c r="J339" s="303">
        <v>1216</v>
      </c>
      <c r="K339" s="303">
        <v>976</v>
      </c>
      <c r="L339" s="303">
        <v>832</v>
      </c>
      <c r="M339" s="303">
        <v>760</v>
      </c>
      <c r="N339" s="303">
        <v>736</v>
      </c>
      <c r="O339" s="303">
        <v>736</v>
      </c>
      <c r="P339" s="303"/>
      <c r="Q339" s="303"/>
      <c r="R339" s="303"/>
      <c r="S339" s="303"/>
      <c r="T339" s="303"/>
      <c r="U339" s="303"/>
      <c r="V339" s="303"/>
      <c r="W339" s="303"/>
      <c r="X339" s="303"/>
      <c r="Y339" s="303"/>
      <c r="Z339" s="303"/>
      <c r="AA339" s="303"/>
      <c r="AB339" s="303"/>
      <c r="AC339" s="304">
        <v>2984</v>
      </c>
      <c r="AD339" s="300">
        <v>2984</v>
      </c>
      <c r="AE339" s="300">
        <v>2456</v>
      </c>
      <c r="AF339" s="305">
        <v>2416</v>
      </c>
      <c r="AG339" s="313">
        <v>2416</v>
      </c>
      <c r="AH339" s="313">
        <v>2416</v>
      </c>
      <c r="AI339" s="313">
        <v>2176</v>
      </c>
      <c r="AJ339" s="294">
        <v>1768</v>
      </c>
      <c r="AK339" s="294">
        <v>1600</v>
      </c>
      <c r="AL339" s="294">
        <v>1480</v>
      </c>
      <c r="AM339" s="294">
        <v>1180</v>
      </c>
      <c r="AZ339" s="312"/>
    </row>
    <row r="340" spans="1:52" x14ac:dyDescent="0.2">
      <c r="A340" s="294" t="s">
        <v>263</v>
      </c>
      <c r="B340" s="294" t="s">
        <v>262</v>
      </c>
      <c r="C340" s="294" t="s">
        <v>338</v>
      </c>
      <c r="D340" s="294" t="s">
        <v>353</v>
      </c>
      <c r="E340" s="304">
        <v>2256</v>
      </c>
      <c r="F340" s="300">
        <v>2640</v>
      </c>
      <c r="G340" s="300">
        <v>1944</v>
      </c>
      <c r="H340" s="303">
        <v>1824</v>
      </c>
      <c r="I340" s="303">
        <v>1632</v>
      </c>
      <c r="J340" s="303">
        <v>1541</v>
      </c>
      <c r="K340" s="303">
        <v>1656</v>
      </c>
      <c r="L340" s="303">
        <v>1339</v>
      </c>
      <c r="M340" s="303">
        <v>1239</v>
      </c>
      <c r="N340" s="303">
        <v>1159</v>
      </c>
      <c r="O340" s="303">
        <v>1094</v>
      </c>
      <c r="P340" s="303"/>
      <c r="Q340" s="303"/>
      <c r="R340" s="303"/>
      <c r="S340" s="303"/>
      <c r="T340" s="303"/>
      <c r="U340" s="303"/>
      <c r="V340" s="303"/>
      <c r="W340" s="303"/>
      <c r="X340" s="303"/>
      <c r="Y340" s="303"/>
      <c r="Z340" s="303"/>
      <c r="AA340" s="303"/>
      <c r="AB340" s="303"/>
      <c r="AC340" s="304">
        <v>5616</v>
      </c>
      <c r="AD340" s="300">
        <v>6000</v>
      </c>
      <c r="AE340" s="300">
        <v>4920</v>
      </c>
      <c r="AF340" s="305">
        <v>4176</v>
      </c>
      <c r="AG340" s="313">
        <v>4032</v>
      </c>
      <c r="AH340" s="313">
        <v>3941</v>
      </c>
      <c r="AI340" s="313">
        <v>5421</v>
      </c>
      <c r="AJ340" s="294">
        <v>4580</v>
      </c>
      <c r="AK340" s="294">
        <v>4212</v>
      </c>
      <c r="AL340" s="294">
        <v>4119</v>
      </c>
      <c r="AM340" s="294">
        <v>4510</v>
      </c>
      <c r="AZ340" s="312"/>
    </row>
    <row r="341" spans="1:52" x14ac:dyDescent="0.2">
      <c r="A341" s="294" t="s">
        <v>263</v>
      </c>
      <c r="B341" s="294" t="s">
        <v>262</v>
      </c>
      <c r="C341" s="294" t="s">
        <v>338</v>
      </c>
      <c r="D341" s="294" t="s">
        <v>352</v>
      </c>
      <c r="E341" s="304">
        <v>1180</v>
      </c>
      <c r="F341" s="300">
        <v>1180</v>
      </c>
      <c r="G341" s="300">
        <v>1132</v>
      </c>
      <c r="H341" s="303">
        <v>1084</v>
      </c>
      <c r="I341" s="303">
        <v>1012</v>
      </c>
      <c r="J341" s="303">
        <v>852</v>
      </c>
      <c r="K341" s="303">
        <v>812</v>
      </c>
      <c r="L341" s="303">
        <v>764</v>
      </c>
      <c r="M341" s="303">
        <v>704</v>
      </c>
      <c r="N341" s="303">
        <v>704</v>
      </c>
      <c r="O341" s="303">
        <v>668</v>
      </c>
      <c r="P341" s="303"/>
      <c r="Q341" s="303"/>
      <c r="R341" s="303"/>
      <c r="S341" s="303"/>
      <c r="T341" s="303"/>
      <c r="U341" s="303"/>
      <c r="V341" s="303"/>
      <c r="W341" s="303"/>
      <c r="X341" s="303"/>
      <c r="Y341" s="303"/>
      <c r="Z341" s="303"/>
      <c r="AA341" s="303"/>
      <c r="AB341" s="303"/>
      <c r="AC341" s="304">
        <v>2260</v>
      </c>
      <c r="AD341" s="300">
        <v>4132</v>
      </c>
      <c r="AE341" s="300">
        <v>3940</v>
      </c>
      <c r="AF341" s="305">
        <v>3604</v>
      </c>
      <c r="AG341" s="313">
        <v>3580</v>
      </c>
      <c r="AH341" s="313">
        <v>3170</v>
      </c>
      <c r="AI341" s="313">
        <v>3020</v>
      </c>
      <c r="AJ341" s="294">
        <v>2660</v>
      </c>
      <c r="AK341" s="294">
        <v>2324</v>
      </c>
      <c r="AL341" s="294">
        <v>2324</v>
      </c>
      <c r="AM341" s="294">
        <v>2324</v>
      </c>
      <c r="AZ341" s="312"/>
    </row>
    <row r="342" spans="1:52" x14ac:dyDescent="0.2">
      <c r="A342" s="294" t="s">
        <v>263</v>
      </c>
      <c r="B342" s="294" t="s">
        <v>262</v>
      </c>
      <c r="C342" s="294" t="s">
        <v>338</v>
      </c>
      <c r="D342" s="294" t="s">
        <v>351</v>
      </c>
      <c r="E342" s="304">
        <v>968</v>
      </c>
      <c r="F342" s="300">
        <v>962</v>
      </c>
      <c r="G342" s="300">
        <v>962</v>
      </c>
      <c r="H342" s="303">
        <v>886</v>
      </c>
      <c r="I342" s="303">
        <v>886</v>
      </c>
      <c r="J342" s="303">
        <v>886</v>
      </c>
      <c r="K342" s="303">
        <v>886</v>
      </c>
      <c r="L342" s="303">
        <v>814</v>
      </c>
      <c r="M342" s="303">
        <v>742</v>
      </c>
      <c r="N342" s="303">
        <v>718</v>
      </c>
      <c r="O342" s="303">
        <v>718</v>
      </c>
      <c r="P342" s="303"/>
      <c r="Q342" s="303"/>
      <c r="R342" s="303"/>
      <c r="S342" s="303"/>
      <c r="T342" s="303"/>
      <c r="U342" s="303"/>
      <c r="V342" s="303"/>
      <c r="W342" s="303"/>
      <c r="X342" s="303"/>
      <c r="Y342" s="303"/>
      <c r="Z342" s="303"/>
      <c r="AA342" s="303"/>
      <c r="AB342" s="303"/>
      <c r="AC342" s="304">
        <v>2426</v>
      </c>
      <c r="AD342" s="300">
        <v>2426</v>
      </c>
      <c r="AE342" s="300">
        <v>2426</v>
      </c>
      <c r="AF342" s="305">
        <v>2230</v>
      </c>
      <c r="AG342" s="313">
        <v>2230</v>
      </c>
      <c r="AH342" s="313">
        <v>2230</v>
      </c>
      <c r="AI342" s="313">
        <v>2230</v>
      </c>
      <c r="AJ342" s="294">
        <v>1942</v>
      </c>
      <c r="AK342" s="294">
        <v>1942</v>
      </c>
      <c r="AL342" s="294">
        <v>1942</v>
      </c>
      <c r="AM342" s="294">
        <v>1942</v>
      </c>
      <c r="AZ342" s="312"/>
    </row>
    <row r="343" spans="1:52" x14ac:dyDescent="0.2">
      <c r="A343" s="294" t="s">
        <v>263</v>
      </c>
      <c r="B343" s="294" t="s">
        <v>262</v>
      </c>
      <c r="C343" s="294" t="s">
        <v>338</v>
      </c>
      <c r="D343" s="294" t="s">
        <v>350</v>
      </c>
      <c r="E343" s="304">
        <v>1812</v>
      </c>
      <c r="F343" s="300">
        <v>1700</v>
      </c>
      <c r="G343" s="300">
        <v>1628</v>
      </c>
      <c r="H343" s="303">
        <v>1508</v>
      </c>
      <c r="I343" s="303">
        <v>1460</v>
      </c>
      <c r="J343" s="303">
        <v>1460</v>
      </c>
      <c r="K343" s="303">
        <v>1460</v>
      </c>
      <c r="L343" s="303">
        <v>1364</v>
      </c>
      <c r="M343" s="303">
        <v>1231</v>
      </c>
      <c r="N343" s="303">
        <v>1208</v>
      </c>
      <c r="O343" s="303">
        <v>1191</v>
      </c>
      <c r="P343" s="303"/>
      <c r="Q343" s="303"/>
      <c r="R343" s="303"/>
      <c r="S343" s="303"/>
      <c r="T343" s="303"/>
      <c r="U343" s="303"/>
      <c r="V343" s="303"/>
      <c r="W343" s="303"/>
      <c r="X343" s="303"/>
      <c r="Y343" s="303"/>
      <c r="Z343" s="303"/>
      <c r="AA343" s="303"/>
      <c r="AB343" s="303"/>
      <c r="AC343" s="304">
        <v>2916</v>
      </c>
      <c r="AD343" s="300">
        <v>2804</v>
      </c>
      <c r="AE343" s="300">
        <v>2684</v>
      </c>
      <c r="AF343" s="305">
        <v>2444</v>
      </c>
      <c r="AG343" s="313">
        <v>2444</v>
      </c>
      <c r="AH343" s="313">
        <v>2444</v>
      </c>
      <c r="AI343" s="313">
        <v>2444</v>
      </c>
      <c r="AJ343" s="294">
        <v>2252</v>
      </c>
      <c r="AK343" s="294">
        <v>2060</v>
      </c>
      <c r="AL343" s="294">
        <v>1952</v>
      </c>
      <c r="AM343" s="294">
        <v>1921</v>
      </c>
      <c r="AZ343" s="312"/>
    </row>
    <row r="344" spans="1:52" x14ac:dyDescent="0.2">
      <c r="A344" s="294" t="s">
        <v>263</v>
      </c>
      <c r="B344" s="294" t="s">
        <v>262</v>
      </c>
      <c r="C344" s="294" t="s">
        <v>338</v>
      </c>
      <c r="D344" s="294" t="s">
        <v>349</v>
      </c>
      <c r="E344" s="304">
        <v>1344</v>
      </c>
      <c r="F344" s="300">
        <v>1320</v>
      </c>
      <c r="G344" s="300">
        <v>1248</v>
      </c>
      <c r="H344" s="303">
        <v>1248</v>
      </c>
      <c r="I344" s="303">
        <v>1248</v>
      </c>
      <c r="J344" s="303">
        <v>1176</v>
      </c>
      <c r="K344" s="303">
        <v>1176</v>
      </c>
      <c r="L344" s="303">
        <v>1128</v>
      </c>
      <c r="M344" s="303">
        <v>1056</v>
      </c>
      <c r="N344" s="303">
        <v>1056</v>
      </c>
      <c r="O344" s="303">
        <v>1032</v>
      </c>
      <c r="P344" s="303"/>
      <c r="Q344" s="303"/>
      <c r="R344" s="303"/>
      <c r="S344" s="303"/>
      <c r="T344" s="303"/>
      <c r="U344" s="303"/>
      <c r="V344" s="303"/>
      <c r="W344" s="303"/>
      <c r="X344" s="303"/>
      <c r="Y344" s="303"/>
      <c r="Z344" s="303"/>
      <c r="AA344" s="303"/>
      <c r="AB344" s="303"/>
      <c r="AC344" s="304">
        <v>2088</v>
      </c>
      <c r="AD344" s="300">
        <v>1968</v>
      </c>
      <c r="AE344" s="300">
        <v>1896</v>
      </c>
      <c r="AF344" s="305">
        <v>1896</v>
      </c>
      <c r="AG344" s="313">
        <v>1896</v>
      </c>
      <c r="AH344" s="313">
        <v>1524</v>
      </c>
      <c r="AI344" s="313">
        <v>1524</v>
      </c>
      <c r="AJ344" s="294">
        <v>1704</v>
      </c>
      <c r="AK344" s="294">
        <v>1608</v>
      </c>
      <c r="AL344" s="294">
        <v>1608</v>
      </c>
      <c r="AM344" s="294">
        <v>1584</v>
      </c>
      <c r="AZ344" s="312"/>
    </row>
    <row r="345" spans="1:52" x14ac:dyDescent="0.2">
      <c r="A345" s="294" t="s">
        <v>263</v>
      </c>
      <c r="B345" s="294" t="s">
        <v>262</v>
      </c>
      <c r="C345" s="294" t="s">
        <v>338</v>
      </c>
      <c r="D345" s="294" t="s">
        <v>348</v>
      </c>
      <c r="E345" s="304">
        <v>5406</v>
      </c>
      <c r="F345" s="300">
        <v>5175</v>
      </c>
      <c r="G345" s="300">
        <v>5141</v>
      </c>
      <c r="H345" s="303">
        <v>4661</v>
      </c>
      <c r="I345" s="303">
        <v>4036</v>
      </c>
      <c r="J345" s="303">
        <v>3495</v>
      </c>
      <c r="K345" s="303">
        <v>3374</v>
      </c>
      <c r="L345" s="303">
        <v>2876</v>
      </c>
      <c r="M345" s="303">
        <v>2494</v>
      </c>
      <c r="N345" s="303">
        <v>2494</v>
      </c>
      <c r="O345" s="303">
        <v>2436</v>
      </c>
      <c r="P345" s="303"/>
      <c r="Q345" s="303"/>
      <c r="R345" s="303"/>
      <c r="S345" s="303"/>
      <c r="T345" s="303"/>
      <c r="U345" s="303"/>
      <c r="V345" s="303"/>
      <c r="W345" s="303"/>
      <c r="X345" s="303"/>
      <c r="Y345" s="303"/>
      <c r="Z345" s="303"/>
      <c r="AA345" s="303"/>
      <c r="AB345" s="303"/>
      <c r="AC345" s="304">
        <v>11694</v>
      </c>
      <c r="AD345" s="300">
        <v>11147</v>
      </c>
      <c r="AE345" s="300">
        <v>10781</v>
      </c>
      <c r="AF345" s="305">
        <v>9131</v>
      </c>
      <c r="AG345" s="313">
        <v>8555</v>
      </c>
      <c r="AH345" s="313">
        <v>8014</v>
      </c>
      <c r="AI345" s="313">
        <v>7649</v>
      </c>
      <c r="AJ345" s="294">
        <v>6639</v>
      </c>
      <c r="AK345" s="294">
        <v>6044</v>
      </c>
      <c r="AL345" s="294">
        <v>6044</v>
      </c>
      <c r="AM345" s="294">
        <v>5676</v>
      </c>
      <c r="AZ345" s="312"/>
    </row>
    <row r="346" spans="1:52" x14ac:dyDescent="0.2">
      <c r="A346" s="294" t="s">
        <v>263</v>
      </c>
      <c r="B346" s="294" t="s">
        <v>262</v>
      </c>
      <c r="C346" s="294" t="s">
        <v>338</v>
      </c>
      <c r="D346" s="294" t="s">
        <v>347</v>
      </c>
      <c r="E346" s="304">
        <v>2064</v>
      </c>
      <c r="F346" s="300">
        <v>2064</v>
      </c>
      <c r="G346" s="300">
        <v>2460</v>
      </c>
      <c r="H346" s="303">
        <v>2460</v>
      </c>
      <c r="I346" s="303">
        <v>1920</v>
      </c>
      <c r="J346" s="303">
        <v>1896</v>
      </c>
      <c r="K346" s="303">
        <v>1824</v>
      </c>
      <c r="L346" s="303">
        <v>1656</v>
      </c>
      <c r="M346" s="303">
        <v>1512</v>
      </c>
      <c r="N346" s="303">
        <v>1440</v>
      </c>
      <c r="O346" s="303">
        <v>1344</v>
      </c>
      <c r="P346" s="303"/>
      <c r="Q346" s="303"/>
      <c r="R346" s="303"/>
      <c r="S346" s="303"/>
      <c r="T346" s="303"/>
      <c r="U346" s="303"/>
      <c r="V346" s="303"/>
      <c r="W346" s="303"/>
      <c r="X346" s="303"/>
      <c r="Y346" s="303"/>
      <c r="Z346" s="303"/>
      <c r="AA346" s="303"/>
      <c r="AB346" s="303"/>
      <c r="AC346" s="304">
        <v>5376</v>
      </c>
      <c r="AD346" s="300">
        <v>5376</v>
      </c>
      <c r="AE346" s="300">
        <v>6600</v>
      </c>
      <c r="AF346" s="305">
        <v>5280</v>
      </c>
      <c r="AG346" s="313">
        <v>5160</v>
      </c>
      <c r="AH346" s="313">
        <v>5088</v>
      </c>
      <c r="AI346" s="313">
        <v>4872</v>
      </c>
      <c r="AJ346" s="294">
        <v>4440</v>
      </c>
      <c r="AK346" s="294">
        <v>4176</v>
      </c>
      <c r="AL346" s="294">
        <v>4056</v>
      </c>
      <c r="AM346" s="294">
        <v>3960</v>
      </c>
      <c r="AZ346" s="312"/>
    </row>
    <row r="347" spans="1:52" x14ac:dyDescent="0.2">
      <c r="A347" s="294" t="s">
        <v>263</v>
      </c>
      <c r="B347" s="294" t="s">
        <v>262</v>
      </c>
      <c r="C347" s="294" t="s">
        <v>338</v>
      </c>
      <c r="D347" s="294" t="s">
        <v>346</v>
      </c>
      <c r="E347" s="304">
        <v>1276</v>
      </c>
      <c r="F347" s="300">
        <v>1276</v>
      </c>
      <c r="G347" s="300">
        <v>1360</v>
      </c>
      <c r="H347" s="303">
        <v>1360</v>
      </c>
      <c r="I347" s="303">
        <v>1060</v>
      </c>
      <c r="J347" s="303">
        <v>1036</v>
      </c>
      <c r="K347" s="303">
        <v>1036</v>
      </c>
      <c r="L347" s="303">
        <v>964</v>
      </c>
      <c r="M347" s="303">
        <v>964</v>
      </c>
      <c r="N347" s="303">
        <v>964</v>
      </c>
      <c r="O347" s="303">
        <v>1300</v>
      </c>
      <c r="P347" s="303"/>
      <c r="Q347" s="303"/>
      <c r="R347" s="303"/>
      <c r="S347" s="303"/>
      <c r="T347" s="303"/>
      <c r="U347" s="303"/>
      <c r="V347" s="303"/>
      <c r="W347" s="303"/>
      <c r="X347" s="303"/>
      <c r="Y347" s="303"/>
      <c r="Z347" s="303"/>
      <c r="AA347" s="303"/>
      <c r="AB347" s="303"/>
      <c r="AC347" s="304">
        <v>4108</v>
      </c>
      <c r="AD347" s="300">
        <v>4108</v>
      </c>
      <c r="AE347" s="300">
        <v>4810</v>
      </c>
      <c r="AF347" s="305">
        <v>3700</v>
      </c>
      <c r="AG347" s="313">
        <v>3700</v>
      </c>
      <c r="AH347" s="313">
        <v>3532</v>
      </c>
      <c r="AI347" s="313">
        <v>3388</v>
      </c>
      <c r="AJ347" s="294">
        <v>2980</v>
      </c>
      <c r="AK347" s="294">
        <v>2812</v>
      </c>
      <c r="AL347" s="294">
        <v>2812</v>
      </c>
      <c r="AM347" s="294">
        <v>2812</v>
      </c>
      <c r="AZ347" s="312"/>
    </row>
    <row r="348" spans="1:52" x14ac:dyDescent="0.2">
      <c r="A348" s="294" t="s">
        <v>263</v>
      </c>
      <c r="B348" s="294" t="s">
        <v>262</v>
      </c>
      <c r="C348" s="294" t="s">
        <v>338</v>
      </c>
      <c r="D348" s="294" t="s">
        <v>345</v>
      </c>
      <c r="E348" s="304">
        <v>1776</v>
      </c>
      <c r="F348" s="300">
        <v>1728</v>
      </c>
      <c r="G348" s="300">
        <v>2040</v>
      </c>
      <c r="H348" s="303">
        <v>2040</v>
      </c>
      <c r="I348" s="303">
        <v>1560</v>
      </c>
      <c r="J348" s="303">
        <v>1536</v>
      </c>
      <c r="K348" s="303">
        <v>1488</v>
      </c>
      <c r="L348" s="303">
        <v>1368</v>
      </c>
      <c r="M348" s="303">
        <v>1272</v>
      </c>
      <c r="N348" s="303">
        <v>1200</v>
      </c>
      <c r="O348" s="303">
        <v>1152</v>
      </c>
      <c r="P348" s="303"/>
      <c r="Q348" s="303"/>
      <c r="R348" s="303"/>
      <c r="S348" s="303"/>
      <c r="T348" s="303"/>
      <c r="U348" s="303"/>
      <c r="V348" s="303"/>
      <c r="W348" s="303"/>
      <c r="X348" s="303"/>
      <c r="Y348" s="303"/>
      <c r="Z348" s="303"/>
      <c r="AA348" s="303"/>
      <c r="AB348" s="303"/>
      <c r="AC348" s="304">
        <v>5664</v>
      </c>
      <c r="AD348" s="300">
        <v>5496</v>
      </c>
      <c r="AE348" s="300">
        <v>6480</v>
      </c>
      <c r="AF348" s="305">
        <v>5160</v>
      </c>
      <c r="AG348" s="313">
        <v>4968</v>
      </c>
      <c r="AH348" s="313">
        <v>4872</v>
      </c>
      <c r="AI348" s="313">
        <v>4656</v>
      </c>
      <c r="AJ348" s="294">
        <v>4056</v>
      </c>
      <c r="AK348" s="294">
        <v>3984</v>
      </c>
      <c r="AL348" s="294">
        <v>3600</v>
      </c>
      <c r="AM348" s="294">
        <v>3456</v>
      </c>
      <c r="AZ348" s="312"/>
    </row>
    <row r="349" spans="1:52" x14ac:dyDescent="0.2">
      <c r="A349" s="294" t="s">
        <v>263</v>
      </c>
      <c r="B349" s="294" t="s">
        <v>262</v>
      </c>
      <c r="C349" s="294" t="s">
        <v>338</v>
      </c>
      <c r="D349" s="294" t="s">
        <v>344</v>
      </c>
      <c r="E349" s="304">
        <v>2064</v>
      </c>
      <c r="F349" s="300">
        <v>2064</v>
      </c>
      <c r="G349" s="300">
        <v>2370</v>
      </c>
      <c r="H349" s="303">
        <v>2370</v>
      </c>
      <c r="I349" s="303">
        <v>1782</v>
      </c>
      <c r="J349" s="303">
        <v>1782</v>
      </c>
      <c r="K349" s="303">
        <v>1704</v>
      </c>
      <c r="L349" s="303">
        <v>1488</v>
      </c>
      <c r="M349" s="303">
        <v>1392</v>
      </c>
      <c r="N349" s="303">
        <v>1320</v>
      </c>
      <c r="O349" s="303">
        <v>1200</v>
      </c>
      <c r="P349" s="303"/>
      <c r="Q349" s="303"/>
      <c r="R349" s="303"/>
      <c r="S349" s="303"/>
      <c r="T349" s="303"/>
      <c r="U349" s="303"/>
      <c r="V349" s="303"/>
      <c r="W349" s="303"/>
      <c r="X349" s="303"/>
      <c r="Y349" s="303"/>
      <c r="Z349" s="303"/>
      <c r="AA349" s="303"/>
      <c r="AB349" s="303"/>
      <c r="AC349" s="304">
        <v>4104</v>
      </c>
      <c r="AD349" s="300">
        <v>4104</v>
      </c>
      <c r="AE349" s="300">
        <v>4920</v>
      </c>
      <c r="AF349" s="305">
        <v>3936</v>
      </c>
      <c r="AG349" s="313">
        <v>3696</v>
      </c>
      <c r="AH349" s="313">
        <v>3696</v>
      </c>
      <c r="AI349" s="313">
        <v>3528</v>
      </c>
      <c r="AJ349" s="294">
        <v>3096</v>
      </c>
      <c r="AK349" s="294">
        <v>2976</v>
      </c>
      <c r="AL349" s="294">
        <v>2904</v>
      </c>
      <c r="AM349" s="294">
        <v>2784</v>
      </c>
      <c r="AZ349" s="312"/>
    </row>
    <row r="350" spans="1:52" x14ac:dyDescent="0.2">
      <c r="A350" s="294" t="s">
        <v>263</v>
      </c>
      <c r="B350" s="294" t="s">
        <v>262</v>
      </c>
      <c r="C350" s="294" t="s">
        <v>338</v>
      </c>
      <c r="D350" s="294" t="s">
        <v>343</v>
      </c>
      <c r="E350" s="304">
        <v>1840</v>
      </c>
      <c r="F350" s="300">
        <v>1844</v>
      </c>
      <c r="G350" s="300">
        <v>1750</v>
      </c>
      <c r="H350" s="303">
        <v>1750</v>
      </c>
      <c r="I350" s="303">
        <v>1320</v>
      </c>
      <c r="J350" s="303">
        <v>1248</v>
      </c>
      <c r="K350" s="303">
        <v>1128</v>
      </c>
      <c r="L350" s="303">
        <v>912</v>
      </c>
      <c r="M350" s="303">
        <v>768</v>
      </c>
      <c r="N350" s="303">
        <v>720</v>
      </c>
      <c r="O350" s="303">
        <v>720</v>
      </c>
      <c r="P350" s="303"/>
      <c r="Q350" s="303"/>
      <c r="R350" s="303"/>
      <c r="S350" s="303"/>
      <c r="T350" s="303"/>
      <c r="U350" s="303"/>
      <c r="V350" s="303"/>
      <c r="W350" s="303"/>
      <c r="X350" s="303"/>
      <c r="Y350" s="303"/>
      <c r="Z350" s="303"/>
      <c r="AA350" s="303"/>
      <c r="AB350" s="303"/>
      <c r="AC350" s="304">
        <v>5260</v>
      </c>
      <c r="AD350" s="300">
        <v>4724</v>
      </c>
      <c r="AE350" s="300">
        <v>4990</v>
      </c>
      <c r="AF350" s="305">
        <v>3502</v>
      </c>
      <c r="AG350" s="294">
        <v>3120</v>
      </c>
      <c r="AH350" s="294">
        <v>2976</v>
      </c>
      <c r="AI350" s="294">
        <v>2760</v>
      </c>
      <c r="AJ350" s="294">
        <v>2328</v>
      </c>
      <c r="AK350" s="294">
        <v>1680</v>
      </c>
      <c r="AL350" s="294">
        <v>960</v>
      </c>
      <c r="AM350" s="294">
        <v>960</v>
      </c>
      <c r="AZ350" s="312"/>
    </row>
    <row r="351" spans="1:52" x14ac:dyDescent="0.2">
      <c r="A351" s="294" t="s">
        <v>263</v>
      </c>
      <c r="B351" s="294" t="s">
        <v>262</v>
      </c>
      <c r="C351" s="294" t="s">
        <v>338</v>
      </c>
      <c r="D351" s="294" t="s">
        <v>342</v>
      </c>
      <c r="E351" s="304">
        <v>1755</v>
      </c>
      <c r="F351" s="300">
        <v>1755</v>
      </c>
      <c r="G351" s="300">
        <v>1695</v>
      </c>
      <c r="H351" s="303">
        <v>1494</v>
      </c>
      <c r="I351" s="303">
        <v>1063</v>
      </c>
      <c r="J351" s="303">
        <v>1063</v>
      </c>
      <c r="K351" s="303">
        <v>1063</v>
      </c>
      <c r="L351" s="303">
        <v>979</v>
      </c>
      <c r="M351" s="303">
        <v>890</v>
      </c>
      <c r="N351" s="303">
        <v>890</v>
      </c>
      <c r="O351" s="303">
        <v>890</v>
      </c>
      <c r="P351" s="303"/>
      <c r="Q351" s="303"/>
      <c r="R351" s="303"/>
      <c r="S351" s="303"/>
      <c r="T351" s="303"/>
      <c r="U351" s="303"/>
      <c r="V351" s="303"/>
      <c r="W351" s="303"/>
      <c r="X351" s="303"/>
      <c r="Y351" s="303"/>
      <c r="Z351" s="303"/>
      <c r="AA351" s="303"/>
      <c r="AB351" s="303"/>
      <c r="AC351" s="304">
        <v>4605</v>
      </c>
      <c r="AD351" s="300">
        <v>4605</v>
      </c>
      <c r="AE351" s="300">
        <v>3675</v>
      </c>
      <c r="AF351" s="305">
        <v>2467</v>
      </c>
      <c r="AG351" s="294">
        <v>2467</v>
      </c>
      <c r="AH351" s="294">
        <v>2467</v>
      </c>
      <c r="AI351" s="294">
        <v>2467</v>
      </c>
      <c r="AJ351" s="294">
        <v>2155</v>
      </c>
      <c r="AK351" s="294">
        <v>1975</v>
      </c>
      <c r="AL351" s="294">
        <v>1975</v>
      </c>
      <c r="AM351" s="294">
        <v>1951</v>
      </c>
      <c r="AZ351" s="312"/>
    </row>
    <row r="352" spans="1:52" x14ac:dyDescent="0.2">
      <c r="A352" s="294" t="s">
        <v>263</v>
      </c>
      <c r="B352" s="294" t="s">
        <v>262</v>
      </c>
      <c r="C352" s="294" t="s">
        <v>338</v>
      </c>
      <c r="D352" s="294" t="s">
        <v>341</v>
      </c>
      <c r="E352" s="304">
        <v>1932</v>
      </c>
      <c r="F352" s="300">
        <v>1932</v>
      </c>
      <c r="G352" s="300">
        <v>1932</v>
      </c>
      <c r="H352" s="303">
        <v>1806</v>
      </c>
      <c r="I352" s="303">
        <v>1704</v>
      </c>
      <c r="J352" s="303">
        <v>1704</v>
      </c>
      <c r="K352" s="303">
        <v>1578</v>
      </c>
      <c r="L352" s="303">
        <v>1518</v>
      </c>
      <c r="M352" s="303">
        <v>1462</v>
      </c>
      <c r="N352" s="303">
        <v>1462</v>
      </c>
      <c r="O352" s="303">
        <v>1438</v>
      </c>
      <c r="P352" s="303"/>
      <c r="Q352" s="303"/>
      <c r="R352" s="303"/>
      <c r="S352" s="303"/>
      <c r="T352" s="303"/>
      <c r="U352" s="303"/>
      <c r="V352" s="303"/>
      <c r="W352" s="303"/>
      <c r="X352" s="303"/>
      <c r="Y352" s="303"/>
      <c r="Z352" s="303"/>
      <c r="AA352" s="303"/>
      <c r="AB352" s="303"/>
      <c r="AC352" s="304">
        <v>4707.84</v>
      </c>
      <c r="AD352" s="300">
        <v>4708</v>
      </c>
      <c r="AE352" s="300">
        <v>4708</v>
      </c>
      <c r="AF352" s="305">
        <v>4104</v>
      </c>
      <c r="AG352" s="294">
        <v>4104</v>
      </c>
      <c r="AH352" s="294">
        <v>4104</v>
      </c>
      <c r="AI352" s="294">
        <v>3408</v>
      </c>
      <c r="AJ352" s="294">
        <v>3348</v>
      </c>
      <c r="AK352" s="294">
        <v>3214</v>
      </c>
      <c r="AL352" s="294">
        <v>3214</v>
      </c>
      <c r="AM352" s="294">
        <v>3286</v>
      </c>
      <c r="AZ352" s="312"/>
    </row>
    <row r="353" spans="1:52" x14ac:dyDescent="0.2">
      <c r="A353" s="294" t="s">
        <v>263</v>
      </c>
      <c r="B353" s="294" t="s">
        <v>262</v>
      </c>
      <c r="C353" s="294" t="s">
        <v>338</v>
      </c>
      <c r="D353" s="294" t="s">
        <v>340</v>
      </c>
      <c r="E353" s="304">
        <v>2096</v>
      </c>
      <c r="F353" s="300">
        <v>2096</v>
      </c>
      <c r="G353" s="300">
        <v>2024</v>
      </c>
      <c r="H353" s="303">
        <v>1904</v>
      </c>
      <c r="I353" s="303">
        <v>1638</v>
      </c>
      <c r="J353" s="303">
        <v>1608</v>
      </c>
      <c r="K353" s="303">
        <v>1548</v>
      </c>
      <c r="L353" s="303">
        <v>1392</v>
      </c>
      <c r="M353" s="303">
        <v>1284</v>
      </c>
      <c r="N353" s="303">
        <v>1284</v>
      </c>
      <c r="O353" s="303">
        <v>1200</v>
      </c>
      <c r="P353" s="303"/>
      <c r="Q353" s="303"/>
      <c r="R353" s="303"/>
      <c r="S353" s="303"/>
      <c r="T353" s="303"/>
      <c r="U353" s="303"/>
      <c r="V353" s="303"/>
      <c r="W353" s="303"/>
      <c r="X353" s="303"/>
      <c r="Y353" s="303"/>
      <c r="Z353" s="303"/>
      <c r="AA353" s="303"/>
      <c r="AB353" s="303"/>
      <c r="AC353" s="304">
        <v>5588</v>
      </c>
      <c r="AD353" s="300">
        <v>5588</v>
      </c>
      <c r="AE353" s="300">
        <v>5384</v>
      </c>
      <c r="AF353" s="305">
        <v>4904</v>
      </c>
      <c r="AG353" s="294">
        <v>4488</v>
      </c>
      <c r="AH353" s="294">
        <v>4404</v>
      </c>
      <c r="AI353" s="294">
        <v>4236</v>
      </c>
      <c r="AJ353" s="294">
        <v>3804</v>
      </c>
      <c r="AK353" s="294">
        <v>3492</v>
      </c>
      <c r="AL353" s="294">
        <v>3372</v>
      </c>
      <c r="AM353" s="294">
        <v>3237</v>
      </c>
      <c r="AZ353" s="312"/>
    </row>
    <row r="354" spans="1:52" x14ac:dyDescent="0.2">
      <c r="A354" s="294" t="s">
        <v>263</v>
      </c>
      <c r="B354" s="294" t="s">
        <v>262</v>
      </c>
      <c r="C354" s="294" t="s">
        <v>338</v>
      </c>
      <c r="D354" s="294" t="s">
        <v>339</v>
      </c>
      <c r="E354" s="304">
        <v>1902</v>
      </c>
      <c r="F354" s="300">
        <v>1902</v>
      </c>
      <c r="G354" s="300">
        <v>1902</v>
      </c>
      <c r="H354" s="303">
        <v>1902</v>
      </c>
      <c r="I354" s="303">
        <v>1830</v>
      </c>
      <c r="J354" s="303">
        <v>1734</v>
      </c>
      <c r="K354" s="303">
        <v>1688</v>
      </c>
      <c r="L354" s="303">
        <v>1518</v>
      </c>
      <c r="M354" s="303">
        <v>1398</v>
      </c>
      <c r="N354" s="303">
        <v>1368</v>
      </c>
      <c r="O354" s="303">
        <v>1344</v>
      </c>
      <c r="P354" s="303"/>
      <c r="Q354" s="303"/>
      <c r="R354" s="303"/>
      <c r="S354" s="303"/>
      <c r="T354" s="303"/>
      <c r="U354" s="303"/>
      <c r="V354" s="303"/>
      <c r="W354" s="303"/>
      <c r="X354" s="303"/>
      <c r="Y354" s="303"/>
      <c r="Z354" s="303"/>
      <c r="AA354" s="303"/>
      <c r="AB354" s="303"/>
      <c r="AC354" s="304">
        <v>4782</v>
      </c>
      <c r="AD354" s="300">
        <v>4962</v>
      </c>
      <c r="AE354" s="300">
        <v>4782</v>
      </c>
      <c r="AF354" s="305">
        <v>4590</v>
      </c>
      <c r="AG354" s="294">
        <v>4590</v>
      </c>
      <c r="AH354" s="294">
        <v>4333</v>
      </c>
      <c r="AI354" s="294">
        <v>4216</v>
      </c>
      <c r="AJ354" s="294">
        <v>3774</v>
      </c>
      <c r="AK354" s="294">
        <v>3462</v>
      </c>
      <c r="AL354" s="294">
        <v>3264</v>
      </c>
      <c r="AM354" s="294">
        <v>3192</v>
      </c>
      <c r="AZ354" s="312"/>
    </row>
    <row r="355" spans="1:52" x14ac:dyDescent="0.2">
      <c r="A355" s="294" t="s">
        <v>263</v>
      </c>
      <c r="B355" s="294" t="s">
        <v>262</v>
      </c>
      <c r="C355" s="294" t="s">
        <v>338</v>
      </c>
      <c r="D355" s="294" t="s">
        <v>337</v>
      </c>
      <c r="E355" s="304">
        <v>1878</v>
      </c>
      <c r="F355" s="300">
        <v>1968</v>
      </c>
      <c r="G355" s="300">
        <v>1806</v>
      </c>
      <c r="H355" s="303">
        <v>1668</v>
      </c>
      <c r="I355" s="303">
        <v>1561</v>
      </c>
      <c r="J355" s="303">
        <v>1561</v>
      </c>
      <c r="K355" s="303">
        <v>1561</v>
      </c>
      <c r="L355" s="303">
        <v>1434</v>
      </c>
      <c r="M355" s="303">
        <v>1320</v>
      </c>
      <c r="N355" s="303">
        <v>1320</v>
      </c>
      <c r="O355" s="303">
        <v>1248</v>
      </c>
      <c r="P355" s="303"/>
      <c r="Q355" s="303"/>
      <c r="R355" s="303"/>
      <c r="S355" s="303"/>
      <c r="T355" s="303"/>
      <c r="U355" s="303"/>
      <c r="V355" s="303"/>
      <c r="W355" s="303"/>
      <c r="X355" s="303"/>
      <c r="Y355" s="303"/>
      <c r="Z355" s="303"/>
      <c r="AA355" s="303"/>
      <c r="AB355" s="303"/>
      <c r="AC355" s="304">
        <v>5130</v>
      </c>
      <c r="AD355" s="300">
        <v>5220</v>
      </c>
      <c r="AE355" s="300">
        <v>4896</v>
      </c>
      <c r="AF355" s="305">
        <v>4182</v>
      </c>
      <c r="AG355" s="294">
        <v>4182</v>
      </c>
      <c r="AH355" s="294">
        <v>4182</v>
      </c>
      <c r="AI355" s="294">
        <v>4182</v>
      </c>
      <c r="AJ355" s="294">
        <v>3648</v>
      </c>
      <c r="AK355" s="294">
        <v>3354</v>
      </c>
      <c r="AL355" s="294">
        <v>3354</v>
      </c>
      <c r="AM355" s="294">
        <v>3336</v>
      </c>
    </row>
    <row r="356" spans="1:52" x14ac:dyDescent="0.2">
      <c r="A356" s="294" t="s">
        <v>263</v>
      </c>
      <c r="B356" s="294" t="s">
        <v>262</v>
      </c>
      <c r="C356" s="294" t="s">
        <v>333</v>
      </c>
      <c r="D356" s="294" t="s">
        <v>336</v>
      </c>
      <c r="E356" s="304">
        <v>3457.5</v>
      </c>
      <c r="F356" s="300">
        <v>3285</v>
      </c>
      <c r="G356" s="300">
        <v>2910</v>
      </c>
      <c r="H356" s="303">
        <v>2805</v>
      </c>
      <c r="I356" s="303">
        <v>2700</v>
      </c>
      <c r="J356" s="303">
        <v>2700</v>
      </c>
      <c r="K356" s="303">
        <v>2513</v>
      </c>
      <c r="L356" s="303">
        <v>2243</v>
      </c>
      <c r="M356" s="303">
        <v>2010</v>
      </c>
      <c r="N356" s="303">
        <v>1920</v>
      </c>
      <c r="O356" s="303">
        <v>1763</v>
      </c>
      <c r="P356" s="303"/>
      <c r="Q356" s="303"/>
      <c r="R356" s="303"/>
      <c r="S356" s="303"/>
      <c r="T356" s="303"/>
      <c r="U356" s="303"/>
      <c r="V356" s="303"/>
      <c r="W356" s="303"/>
      <c r="X356" s="303"/>
      <c r="Y356" s="303"/>
      <c r="Z356" s="303"/>
      <c r="AA356" s="303"/>
      <c r="AB356" s="303"/>
      <c r="AC356" s="304">
        <v>10370.5</v>
      </c>
      <c r="AD356" s="300">
        <v>10063</v>
      </c>
      <c r="AE356" s="300">
        <v>9688</v>
      </c>
      <c r="AF356" s="305">
        <v>9450</v>
      </c>
      <c r="AG356" s="294">
        <v>9345</v>
      </c>
      <c r="AH356" s="294">
        <v>9345</v>
      </c>
      <c r="AI356" s="294">
        <v>9008</v>
      </c>
      <c r="AJ356" s="294">
        <v>8590</v>
      </c>
      <c r="AK356" s="294">
        <v>8208</v>
      </c>
      <c r="AL356" s="294">
        <v>7629</v>
      </c>
      <c r="AM356" s="294">
        <v>7148</v>
      </c>
    </row>
    <row r="357" spans="1:52" x14ac:dyDescent="0.2">
      <c r="A357" s="294" t="s">
        <v>263</v>
      </c>
      <c r="B357" s="294" t="s">
        <v>262</v>
      </c>
      <c r="C357" s="294" t="s">
        <v>333</v>
      </c>
      <c r="D357" s="294" t="s">
        <v>335</v>
      </c>
      <c r="E357" s="304">
        <v>3127.5</v>
      </c>
      <c r="F357" s="300">
        <v>3015</v>
      </c>
      <c r="G357" s="300">
        <v>2910</v>
      </c>
      <c r="H357" s="303">
        <v>2805</v>
      </c>
      <c r="I357" s="303">
        <v>2700</v>
      </c>
      <c r="J357" s="303">
        <v>2700</v>
      </c>
      <c r="K357" s="303"/>
      <c r="L357" s="303">
        <v>2243</v>
      </c>
      <c r="M357" s="303">
        <v>2010</v>
      </c>
      <c r="N357" s="303">
        <v>1920</v>
      </c>
      <c r="O357" s="303">
        <v>1763</v>
      </c>
      <c r="P357" s="303"/>
      <c r="Q357" s="303"/>
      <c r="R357" s="303"/>
      <c r="S357" s="303"/>
      <c r="T357" s="303"/>
      <c r="U357" s="303"/>
      <c r="V357" s="303"/>
      <c r="W357" s="303"/>
      <c r="X357" s="303"/>
      <c r="Y357" s="303"/>
      <c r="Z357" s="303"/>
      <c r="AA357" s="303"/>
      <c r="AB357" s="303"/>
      <c r="AC357" s="304">
        <v>10040.5</v>
      </c>
      <c r="AD357" s="300">
        <v>9793</v>
      </c>
      <c r="AE357" s="300">
        <v>9688</v>
      </c>
      <c r="AF357" s="305">
        <v>9450</v>
      </c>
      <c r="AG357" s="294">
        <v>9345</v>
      </c>
      <c r="AH357" s="294">
        <v>9345</v>
      </c>
      <c r="AI357" s="294">
        <v>9008</v>
      </c>
      <c r="AJ357" s="294">
        <v>8590</v>
      </c>
      <c r="AK357" s="294">
        <v>8208</v>
      </c>
      <c r="AL357" s="294">
        <v>7629</v>
      </c>
      <c r="AM357" s="294">
        <v>7148</v>
      </c>
    </row>
    <row r="358" spans="1:52" x14ac:dyDescent="0.2">
      <c r="A358" s="294" t="s">
        <v>263</v>
      </c>
      <c r="B358" s="294" t="s">
        <v>262</v>
      </c>
      <c r="C358" s="294" t="s">
        <v>333</v>
      </c>
      <c r="D358" s="294" t="s">
        <v>334</v>
      </c>
      <c r="E358" s="304">
        <v>3337.5</v>
      </c>
      <c r="F358" s="300">
        <v>3075</v>
      </c>
      <c r="G358" s="300">
        <v>2910</v>
      </c>
      <c r="H358" s="303">
        <v>2805</v>
      </c>
      <c r="I358" s="303">
        <v>2700</v>
      </c>
      <c r="J358" s="303">
        <v>2700</v>
      </c>
      <c r="K358" s="303">
        <v>2513</v>
      </c>
      <c r="L358" s="303">
        <v>2243</v>
      </c>
      <c r="M358" s="303">
        <v>2010</v>
      </c>
      <c r="N358" s="303">
        <v>1920</v>
      </c>
      <c r="O358" s="303">
        <v>1763</v>
      </c>
      <c r="P358" s="303"/>
      <c r="Q358" s="303"/>
      <c r="R358" s="303"/>
      <c r="S358" s="303"/>
      <c r="T358" s="303"/>
      <c r="U358" s="303"/>
      <c r="V358" s="303"/>
      <c r="W358" s="303"/>
      <c r="X358" s="303"/>
      <c r="Y358" s="303"/>
      <c r="Z358" s="303"/>
      <c r="AA358" s="303"/>
      <c r="AB358" s="303"/>
      <c r="AC358" s="304">
        <v>10250.5</v>
      </c>
      <c r="AD358" s="300">
        <v>9853</v>
      </c>
      <c r="AE358" s="300">
        <v>9688</v>
      </c>
      <c r="AF358" s="305">
        <v>9450</v>
      </c>
      <c r="AG358" s="294">
        <v>9345</v>
      </c>
      <c r="AH358" s="294">
        <v>9345</v>
      </c>
      <c r="AI358" s="294">
        <v>9008</v>
      </c>
      <c r="AJ358" s="294">
        <v>8590</v>
      </c>
      <c r="AK358" s="294">
        <v>8208</v>
      </c>
      <c r="AL358" s="294">
        <v>7629</v>
      </c>
      <c r="AM358" s="294">
        <v>7148</v>
      </c>
    </row>
    <row r="359" spans="1:52" x14ac:dyDescent="0.2">
      <c r="A359" s="294" t="s">
        <v>263</v>
      </c>
      <c r="B359" s="294" t="s">
        <v>262</v>
      </c>
      <c r="C359" s="294" t="s">
        <v>333</v>
      </c>
      <c r="D359" s="294" t="s">
        <v>332</v>
      </c>
      <c r="E359" s="304">
        <v>3157.5</v>
      </c>
      <c r="F359" s="300">
        <v>3045</v>
      </c>
      <c r="G359" s="300">
        <v>2910</v>
      </c>
      <c r="H359" s="303">
        <v>2805</v>
      </c>
      <c r="I359" s="303">
        <v>2700</v>
      </c>
      <c r="J359" s="303">
        <v>2700</v>
      </c>
      <c r="K359" s="303">
        <v>2513</v>
      </c>
      <c r="L359" s="303">
        <v>2243</v>
      </c>
      <c r="M359" s="303">
        <v>2010</v>
      </c>
      <c r="N359" s="303">
        <v>1920</v>
      </c>
      <c r="O359" s="303">
        <v>1763</v>
      </c>
      <c r="P359" s="303"/>
      <c r="Q359" s="303"/>
      <c r="R359" s="303"/>
      <c r="S359" s="303"/>
      <c r="T359" s="303"/>
      <c r="U359" s="303"/>
      <c r="V359" s="303"/>
      <c r="W359" s="303"/>
      <c r="X359" s="303"/>
      <c r="Y359" s="303"/>
      <c r="Z359" s="303"/>
      <c r="AA359" s="303"/>
      <c r="AB359" s="303"/>
      <c r="AC359" s="304">
        <v>10070.5</v>
      </c>
      <c r="AD359" s="300">
        <v>9823</v>
      </c>
      <c r="AE359" s="300">
        <v>9688</v>
      </c>
      <c r="AF359" s="305">
        <v>9450</v>
      </c>
      <c r="AG359" s="294">
        <v>9345</v>
      </c>
      <c r="AH359" s="294">
        <v>9345</v>
      </c>
      <c r="AI359" s="294">
        <v>9008</v>
      </c>
      <c r="AJ359" s="294">
        <v>8590</v>
      </c>
      <c r="AK359" s="294">
        <v>8208</v>
      </c>
      <c r="AL359" s="294">
        <v>7629</v>
      </c>
      <c r="AM359" s="294">
        <v>7148</v>
      </c>
    </row>
    <row r="360" spans="1:52" x14ac:dyDescent="0.2">
      <c r="A360" s="294" t="s">
        <v>263</v>
      </c>
      <c r="C360" s="294" t="s">
        <v>315</v>
      </c>
      <c r="D360" s="294" t="s">
        <v>331</v>
      </c>
      <c r="E360" s="304">
        <v>6188</v>
      </c>
      <c r="F360" s="300">
        <v>5963</v>
      </c>
      <c r="G360" s="300">
        <v>4509</v>
      </c>
      <c r="H360" s="303">
        <v>4352</v>
      </c>
      <c r="I360" s="303">
        <v>4261</v>
      </c>
      <c r="J360" s="303">
        <v>4126</v>
      </c>
      <c r="K360" s="303">
        <v>3901</v>
      </c>
      <c r="L360" s="303">
        <v>3430</v>
      </c>
      <c r="M360" s="303">
        <v>3272</v>
      </c>
      <c r="N360" s="303">
        <v>3137</v>
      </c>
      <c r="O360" s="303">
        <v>3025</v>
      </c>
      <c r="P360" s="303"/>
      <c r="Q360" s="303"/>
      <c r="R360" s="303"/>
      <c r="S360" s="303"/>
      <c r="T360" s="303"/>
      <c r="U360" s="303"/>
      <c r="V360" s="303"/>
      <c r="W360" s="303"/>
      <c r="X360" s="303"/>
      <c r="Y360" s="303"/>
      <c r="Z360" s="303"/>
      <c r="AA360" s="303"/>
      <c r="AB360" s="303"/>
      <c r="AC360" s="304">
        <v>15908</v>
      </c>
      <c r="AD360" s="300">
        <v>15233</v>
      </c>
      <c r="AE360" s="300">
        <v>13149</v>
      </c>
      <c r="AF360" s="305">
        <v>12676</v>
      </c>
      <c r="AG360" s="294">
        <v>12181</v>
      </c>
      <c r="AH360" s="294">
        <v>11776</v>
      </c>
      <c r="AI360" s="294">
        <v>11101</v>
      </c>
      <c r="AJ360" s="294">
        <v>9863</v>
      </c>
      <c r="AK360" s="294">
        <v>9392</v>
      </c>
      <c r="AL360" s="294">
        <v>9077</v>
      </c>
      <c r="AM360" s="294">
        <v>8740</v>
      </c>
    </row>
    <row r="361" spans="1:52" x14ac:dyDescent="0.2">
      <c r="A361" s="294" t="s">
        <v>263</v>
      </c>
      <c r="C361" s="294" t="s">
        <v>315</v>
      </c>
      <c r="D361" s="294" t="s">
        <v>330</v>
      </c>
      <c r="E361" s="304">
        <v>4938</v>
      </c>
      <c r="F361" s="300">
        <v>4624</v>
      </c>
      <c r="G361" s="300">
        <v>4263.75</v>
      </c>
      <c r="H361" s="303">
        <v>4174</v>
      </c>
      <c r="I361" s="303">
        <v>4225</v>
      </c>
      <c r="J361" s="303">
        <v>3978</v>
      </c>
      <c r="K361" s="303">
        <v>3618</v>
      </c>
      <c r="L361" s="303">
        <v>3276</v>
      </c>
      <c r="M361" s="303">
        <v>3093</v>
      </c>
      <c r="N361" s="303">
        <v>2958</v>
      </c>
      <c r="O361" s="303">
        <v>2958</v>
      </c>
      <c r="P361" s="303"/>
      <c r="Q361" s="303"/>
      <c r="R361" s="303"/>
      <c r="S361" s="303"/>
      <c r="T361" s="303"/>
      <c r="U361" s="303"/>
      <c r="V361" s="303"/>
      <c r="W361" s="303"/>
      <c r="X361" s="303"/>
      <c r="Y361" s="303"/>
      <c r="Z361" s="303"/>
      <c r="AA361" s="303"/>
      <c r="AB361" s="303"/>
      <c r="AC361" s="304">
        <v>13218</v>
      </c>
      <c r="AD361" s="300">
        <v>12319</v>
      </c>
      <c r="AE361" s="300">
        <v>11598.75</v>
      </c>
      <c r="AF361" s="305">
        <v>10991</v>
      </c>
      <c r="AG361" s="294">
        <v>10660</v>
      </c>
      <c r="AH361" s="294">
        <v>10188</v>
      </c>
      <c r="AI361" s="294">
        <v>8973</v>
      </c>
      <c r="AJ361" s="294">
        <v>8901</v>
      </c>
      <c r="AK361" s="294">
        <v>8493</v>
      </c>
      <c r="AL361" s="294">
        <v>8043</v>
      </c>
      <c r="AM361" s="294">
        <v>8088</v>
      </c>
    </row>
    <row r="362" spans="1:52" x14ac:dyDescent="0.2">
      <c r="A362" s="294" t="s">
        <v>263</v>
      </c>
      <c r="C362" s="294" t="s">
        <v>315</v>
      </c>
      <c r="D362" s="294" t="s">
        <v>329</v>
      </c>
      <c r="E362" s="304">
        <v>4725</v>
      </c>
      <c r="F362" s="300">
        <v>4500</v>
      </c>
      <c r="G362" s="300">
        <v>4230</v>
      </c>
      <c r="H362" s="303">
        <v>4230</v>
      </c>
      <c r="I362" s="303">
        <v>4230</v>
      </c>
      <c r="J362" s="303">
        <v>4050</v>
      </c>
      <c r="K362" s="303">
        <v>3915</v>
      </c>
      <c r="L362" s="303">
        <v>3645</v>
      </c>
      <c r="M362" s="303">
        <v>3510</v>
      </c>
      <c r="N362" s="303">
        <v>3038</v>
      </c>
      <c r="O362" s="303">
        <v>2880</v>
      </c>
      <c r="P362" s="303"/>
      <c r="Q362" s="303"/>
      <c r="R362" s="303"/>
      <c r="S362" s="303"/>
      <c r="T362" s="303"/>
      <c r="U362" s="303"/>
      <c r="V362" s="303"/>
      <c r="W362" s="303"/>
      <c r="X362" s="303"/>
      <c r="Y362" s="303"/>
      <c r="Z362" s="303"/>
      <c r="AA362" s="303"/>
      <c r="AB362" s="303"/>
      <c r="AC362" s="304">
        <v>12150</v>
      </c>
      <c r="AD362" s="300">
        <v>11790</v>
      </c>
      <c r="AE362" s="300">
        <v>11520</v>
      </c>
      <c r="AF362" s="305">
        <v>11520</v>
      </c>
      <c r="AG362" s="294">
        <v>11520</v>
      </c>
      <c r="AH362" s="294">
        <v>11340</v>
      </c>
      <c r="AI362" s="294">
        <v>11340</v>
      </c>
      <c r="AJ362" s="294">
        <v>10980</v>
      </c>
      <c r="AK362" s="294">
        <v>10935</v>
      </c>
      <c r="AL362" s="294">
        <v>9698</v>
      </c>
      <c r="AM362" s="294">
        <v>9225</v>
      </c>
    </row>
    <row r="363" spans="1:52" x14ac:dyDescent="0.2">
      <c r="A363" s="294" t="s">
        <v>263</v>
      </c>
      <c r="C363" s="294" t="s">
        <v>315</v>
      </c>
      <c r="D363" s="294" t="s">
        <v>328</v>
      </c>
      <c r="E363" s="304">
        <v>4944</v>
      </c>
      <c r="F363" s="300">
        <v>4614</v>
      </c>
      <c r="G363" s="300">
        <v>4209</v>
      </c>
      <c r="H363" s="303">
        <v>4065</v>
      </c>
      <c r="I363" s="303">
        <v>4132</v>
      </c>
      <c r="J363" s="303">
        <v>3908</v>
      </c>
      <c r="K363" s="303">
        <v>3757</v>
      </c>
      <c r="L363" s="303">
        <v>3555</v>
      </c>
      <c r="M363" s="303">
        <v>3465</v>
      </c>
      <c r="N363" s="303">
        <v>3015</v>
      </c>
      <c r="O363" s="303">
        <v>2790</v>
      </c>
      <c r="P363" s="303"/>
      <c r="Q363" s="303"/>
      <c r="R363" s="303"/>
      <c r="S363" s="303"/>
      <c r="T363" s="303"/>
      <c r="U363" s="303"/>
      <c r="V363" s="303"/>
      <c r="W363" s="303"/>
      <c r="X363" s="303"/>
      <c r="Y363" s="303"/>
      <c r="Z363" s="303"/>
      <c r="AA363" s="303"/>
      <c r="AB363" s="303"/>
      <c r="AC363" s="304">
        <v>12414</v>
      </c>
      <c r="AD363" s="300">
        <v>12399</v>
      </c>
      <c r="AE363" s="300">
        <v>11724</v>
      </c>
      <c r="AF363" s="305">
        <v>11917</v>
      </c>
      <c r="AG363" s="294">
        <v>11557</v>
      </c>
      <c r="AH363" s="294">
        <v>10613</v>
      </c>
      <c r="AI363" s="294">
        <v>10552</v>
      </c>
      <c r="AJ363" s="294">
        <v>10080</v>
      </c>
      <c r="AK363" s="294">
        <v>9810</v>
      </c>
      <c r="AL363" s="294">
        <v>9360</v>
      </c>
      <c r="AM363" s="294">
        <v>9135</v>
      </c>
    </row>
    <row r="364" spans="1:52" x14ac:dyDescent="0.2">
      <c r="A364" s="294" t="s">
        <v>263</v>
      </c>
      <c r="C364" s="294" t="s">
        <v>315</v>
      </c>
      <c r="D364" s="294" t="s">
        <v>327</v>
      </c>
      <c r="E364" s="304">
        <v>5130</v>
      </c>
      <c r="F364" s="300">
        <v>4995</v>
      </c>
      <c r="G364" s="300">
        <v>4545</v>
      </c>
      <c r="H364" s="303">
        <v>4575</v>
      </c>
      <c r="I364" s="303">
        <v>4953</v>
      </c>
      <c r="J364" s="303">
        <v>4713</v>
      </c>
      <c r="K364" s="303">
        <v>4308</v>
      </c>
      <c r="L364" s="303">
        <v>3690</v>
      </c>
      <c r="M364" s="303">
        <v>3510</v>
      </c>
      <c r="N364" s="303">
        <v>3150</v>
      </c>
      <c r="O364" s="303">
        <v>3060</v>
      </c>
      <c r="P364" s="303"/>
      <c r="Q364" s="303"/>
      <c r="R364" s="303"/>
      <c r="S364" s="303"/>
      <c r="T364" s="303"/>
      <c r="U364" s="303"/>
      <c r="V364" s="303"/>
      <c r="W364" s="303"/>
      <c r="X364" s="303"/>
      <c r="Y364" s="303"/>
      <c r="Z364" s="303"/>
      <c r="AA364" s="303"/>
      <c r="AB364" s="303"/>
      <c r="AC364" s="304">
        <v>9720</v>
      </c>
      <c r="AD364" s="300">
        <v>9450</v>
      </c>
      <c r="AE364" s="300">
        <v>9000</v>
      </c>
      <c r="AF364" s="305">
        <v>9450</v>
      </c>
      <c r="AG364" s="294">
        <v>9363</v>
      </c>
      <c r="AH364" s="294">
        <v>8583</v>
      </c>
      <c r="AI364" s="294">
        <v>8133</v>
      </c>
      <c r="AJ364" s="294">
        <v>7110</v>
      </c>
      <c r="AK364" s="294">
        <v>6750</v>
      </c>
      <c r="AL364" s="294">
        <v>6030</v>
      </c>
      <c r="AM364" s="294">
        <v>5940</v>
      </c>
    </row>
    <row r="365" spans="1:52" x14ac:dyDescent="0.2">
      <c r="A365" s="294" t="s">
        <v>263</v>
      </c>
      <c r="C365" s="294" t="s">
        <v>315</v>
      </c>
      <c r="D365" s="294" t="s">
        <v>326</v>
      </c>
      <c r="E365" s="304">
        <v>5490</v>
      </c>
      <c r="F365" s="300">
        <v>5310</v>
      </c>
      <c r="G365" s="300">
        <v>5085</v>
      </c>
      <c r="H365" s="303">
        <v>4770</v>
      </c>
      <c r="I365" s="303">
        <v>4545</v>
      </c>
      <c r="J365" s="303">
        <v>4545</v>
      </c>
      <c r="K365" s="303">
        <v>4230</v>
      </c>
      <c r="L365" s="303">
        <v>4005</v>
      </c>
      <c r="M365" s="303">
        <v>3510</v>
      </c>
      <c r="N365" s="303">
        <v>3285</v>
      </c>
      <c r="O365" s="303">
        <v>3285</v>
      </c>
      <c r="P365" s="303"/>
      <c r="Q365" s="303"/>
      <c r="R365" s="303"/>
      <c r="S365" s="303"/>
      <c r="T365" s="303"/>
      <c r="U365" s="303"/>
      <c r="V365" s="303"/>
      <c r="W365" s="303"/>
      <c r="X365" s="303"/>
      <c r="Y365" s="303"/>
      <c r="Z365" s="303"/>
      <c r="AA365" s="303"/>
      <c r="AB365" s="303"/>
      <c r="AC365" s="304">
        <v>11160</v>
      </c>
      <c r="AD365" s="300">
        <v>10980</v>
      </c>
      <c r="AE365" s="300">
        <v>10845</v>
      </c>
      <c r="AF365" s="305">
        <v>10665</v>
      </c>
      <c r="AG365" s="294">
        <v>10665</v>
      </c>
      <c r="AH365" s="294">
        <v>10665</v>
      </c>
      <c r="AI365" s="294">
        <v>4230</v>
      </c>
      <c r="AJ365" s="294">
        <v>4005</v>
      </c>
      <c r="AK365" s="294">
        <v>3510</v>
      </c>
      <c r="AL365" s="294">
        <v>3285</v>
      </c>
      <c r="AM365" s="294">
        <v>3285</v>
      </c>
    </row>
    <row r="366" spans="1:52" x14ac:dyDescent="0.2">
      <c r="A366" s="294" t="s">
        <v>263</v>
      </c>
      <c r="C366" s="294" t="s">
        <v>315</v>
      </c>
      <c r="D366" s="294" t="s">
        <v>325</v>
      </c>
      <c r="E366" s="304">
        <v>5490</v>
      </c>
      <c r="F366" s="300">
        <v>5199</v>
      </c>
      <c r="G366" s="300">
        <v>4425</v>
      </c>
      <c r="H366" s="303">
        <v>4426</v>
      </c>
      <c r="I366" s="303">
        <v>4290</v>
      </c>
      <c r="J366" s="303">
        <v>4290</v>
      </c>
      <c r="K366" s="303">
        <v>3840</v>
      </c>
      <c r="L366" s="303">
        <v>3615</v>
      </c>
      <c r="M366" s="303">
        <v>3345</v>
      </c>
      <c r="N366" s="303">
        <v>2940</v>
      </c>
      <c r="O366" s="303">
        <v>3940</v>
      </c>
      <c r="P366" s="303"/>
      <c r="Q366" s="303"/>
      <c r="R366" s="303"/>
      <c r="S366" s="303"/>
      <c r="T366" s="303"/>
      <c r="U366" s="303"/>
      <c r="V366" s="303"/>
      <c r="W366" s="303"/>
      <c r="X366" s="303"/>
      <c r="Y366" s="303"/>
      <c r="Z366" s="303"/>
      <c r="AA366" s="303"/>
      <c r="AB366" s="303"/>
      <c r="AC366" s="304">
        <v>9000</v>
      </c>
      <c r="AD366" s="300">
        <v>8394</v>
      </c>
      <c r="AE366" s="300">
        <v>7935</v>
      </c>
      <c r="AF366" s="305">
        <v>8083</v>
      </c>
      <c r="AG366" s="294">
        <v>7800</v>
      </c>
      <c r="AH366" s="294">
        <v>7800</v>
      </c>
      <c r="AI366" s="294">
        <v>7350</v>
      </c>
      <c r="AJ366" s="294">
        <v>7125</v>
      </c>
      <c r="AK366" s="294">
        <v>6855</v>
      </c>
      <c r="AL366" s="294">
        <v>6450</v>
      </c>
      <c r="AM366" s="294">
        <v>6450</v>
      </c>
    </row>
    <row r="367" spans="1:52" x14ac:dyDescent="0.2">
      <c r="A367" s="294" t="s">
        <v>263</v>
      </c>
      <c r="C367" s="294" t="s">
        <v>315</v>
      </c>
      <c r="D367" s="294" t="s">
        <v>324</v>
      </c>
      <c r="E367" s="304">
        <v>5897</v>
      </c>
      <c r="F367" s="300">
        <v>5711</v>
      </c>
      <c r="G367" s="300">
        <v>4892.3999999999996</v>
      </c>
      <c r="H367" s="303">
        <v>4758</v>
      </c>
      <c r="I367" s="303">
        <v>4650</v>
      </c>
      <c r="J367" s="303">
        <v>4560</v>
      </c>
      <c r="K367" s="303">
        <v>4265</v>
      </c>
      <c r="L367" s="303">
        <v>4095</v>
      </c>
      <c r="M367" s="303">
        <v>3780</v>
      </c>
      <c r="N367" s="303">
        <v>3668</v>
      </c>
      <c r="O367" s="303">
        <v>3555</v>
      </c>
      <c r="P367" s="303"/>
      <c r="Q367" s="303"/>
      <c r="R367" s="303"/>
      <c r="S367" s="303"/>
      <c r="T367" s="303"/>
      <c r="U367" s="303"/>
      <c r="V367" s="303"/>
      <c r="W367" s="303"/>
      <c r="X367" s="303"/>
      <c r="Y367" s="303"/>
      <c r="Z367" s="303"/>
      <c r="AA367" s="303"/>
      <c r="AB367" s="303"/>
      <c r="AC367" s="304">
        <v>12939</v>
      </c>
      <c r="AD367" s="300">
        <v>12484</v>
      </c>
      <c r="AE367" s="300">
        <v>11552.4</v>
      </c>
      <c r="AF367" s="305">
        <v>11265</v>
      </c>
      <c r="AG367" s="294">
        <v>10500</v>
      </c>
      <c r="AH367" s="294">
        <v>10410</v>
      </c>
      <c r="AI367" s="294">
        <v>10070</v>
      </c>
      <c r="AJ367" s="294">
        <v>9945</v>
      </c>
      <c r="AK367" s="294">
        <v>9720</v>
      </c>
      <c r="AL367" s="294">
        <v>11970</v>
      </c>
      <c r="AM367" s="294">
        <v>11565</v>
      </c>
    </row>
    <row r="368" spans="1:52" x14ac:dyDescent="0.2">
      <c r="A368" s="294" t="s">
        <v>263</v>
      </c>
      <c r="C368" s="294" t="s">
        <v>315</v>
      </c>
      <c r="D368" s="294" t="s">
        <v>323</v>
      </c>
      <c r="E368" s="304">
        <v>5288</v>
      </c>
      <c r="F368" s="300">
        <v>5067</v>
      </c>
      <c r="G368" s="300">
        <v>4663.4999999999991</v>
      </c>
      <c r="H368" s="303">
        <v>4410</v>
      </c>
      <c r="I368" s="303">
        <v>4455</v>
      </c>
      <c r="J368" s="303">
        <v>4320</v>
      </c>
      <c r="K368" s="303">
        <v>4095</v>
      </c>
      <c r="L368" s="303">
        <v>3465</v>
      </c>
      <c r="M368" s="303">
        <v>3303</v>
      </c>
      <c r="N368" s="303">
        <v>2970</v>
      </c>
      <c r="O368" s="303">
        <v>2970</v>
      </c>
      <c r="P368" s="303"/>
      <c r="Q368" s="303"/>
      <c r="R368" s="303"/>
      <c r="S368" s="303"/>
      <c r="T368" s="303"/>
      <c r="U368" s="303"/>
      <c r="V368" s="303"/>
      <c r="W368" s="303"/>
      <c r="X368" s="303"/>
      <c r="Y368" s="303"/>
      <c r="Z368" s="303"/>
      <c r="AA368" s="303"/>
      <c r="AB368" s="303"/>
      <c r="AC368" s="304">
        <v>11792</v>
      </c>
      <c r="AD368" s="300">
        <v>11289</v>
      </c>
      <c r="AE368" s="300">
        <v>10589.550000000001</v>
      </c>
      <c r="AF368" s="305">
        <v>9426</v>
      </c>
      <c r="AG368" s="294">
        <v>9405</v>
      </c>
      <c r="AH368" s="294">
        <v>9270</v>
      </c>
      <c r="AI368" s="294">
        <v>8325</v>
      </c>
      <c r="AJ368" s="294">
        <v>8010</v>
      </c>
      <c r="AK368" s="294">
        <v>7875</v>
      </c>
      <c r="AL368" s="294">
        <v>7515</v>
      </c>
      <c r="AM368" s="294">
        <v>7515</v>
      </c>
    </row>
    <row r="369" spans="1:39" x14ac:dyDescent="0.2">
      <c r="A369" s="294" t="s">
        <v>263</v>
      </c>
      <c r="C369" s="294" t="s">
        <v>315</v>
      </c>
      <c r="D369" s="294" t="s">
        <v>322</v>
      </c>
      <c r="E369" s="304">
        <v>5540</v>
      </c>
      <c r="F369" s="300">
        <v>5156</v>
      </c>
      <c r="G369" s="300">
        <v>4695</v>
      </c>
      <c r="H369" s="303">
        <v>4605</v>
      </c>
      <c r="I369" s="303">
        <v>4601</v>
      </c>
      <c r="J369" s="303">
        <v>4579</v>
      </c>
      <c r="K369" s="303">
        <v>4219</v>
      </c>
      <c r="L369" s="303">
        <v>3844</v>
      </c>
      <c r="M369" s="303">
        <v>3521</v>
      </c>
      <c r="N369" s="303">
        <v>3380</v>
      </c>
      <c r="O369" s="303">
        <v>3239</v>
      </c>
      <c r="P369" s="303"/>
      <c r="Q369" s="303"/>
      <c r="R369" s="303"/>
      <c r="S369" s="303"/>
      <c r="T369" s="303"/>
      <c r="U369" s="303"/>
      <c r="V369" s="303"/>
      <c r="W369" s="303"/>
      <c r="X369" s="303"/>
      <c r="Y369" s="303"/>
      <c r="Z369" s="303"/>
      <c r="AA369" s="303"/>
      <c r="AB369" s="303"/>
      <c r="AC369" s="304">
        <v>10445</v>
      </c>
      <c r="AD369" s="300">
        <v>10061</v>
      </c>
      <c r="AE369" s="300">
        <v>9780</v>
      </c>
      <c r="AF369" s="305">
        <v>10016</v>
      </c>
      <c r="AG369" s="294">
        <v>10001</v>
      </c>
      <c r="AH369" s="294">
        <v>9979</v>
      </c>
      <c r="AI369" s="294">
        <v>9844</v>
      </c>
      <c r="AJ369" s="294">
        <v>9829</v>
      </c>
      <c r="AK369" s="294">
        <v>9731</v>
      </c>
      <c r="AL369" s="294">
        <v>9698</v>
      </c>
      <c r="AM369" s="294">
        <v>9674</v>
      </c>
    </row>
    <row r="370" spans="1:39" x14ac:dyDescent="0.2">
      <c r="A370" s="294" t="s">
        <v>263</v>
      </c>
      <c r="C370" s="294" t="s">
        <v>315</v>
      </c>
      <c r="D370" s="294" t="s">
        <v>321</v>
      </c>
      <c r="E370" s="304">
        <v>5445</v>
      </c>
      <c r="F370" s="300">
        <v>5175</v>
      </c>
      <c r="G370" s="300">
        <v>4905</v>
      </c>
      <c r="H370" s="303">
        <v>4770</v>
      </c>
      <c r="I370" s="303">
        <v>4770</v>
      </c>
      <c r="J370" s="303">
        <v>4770</v>
      </c>
      <c r="K370" s="303">
        <v>4770</v>
      </c>
      <c r="L370" s="303">
        <v>3615</v>
      </c>
      <c r="M370" s="303">
        <v>3495</v>
      </c>
      <c r="N370" s="303">
        <v>2955</v>
      </c>
      <c r="O370" s="303">
        <v>2955</v>
      </c>
      <c r="P370" s="303"/>
      <c r="Q370" s="303"/>
      <c r="R370" s="303"/>
      <c r="S370" s="303"/>
      <c r="T370" s="303"/>
      <c r="U370" s="303"/>
      <c r="V370" s="303"/>
      <c r="W370" s="303"/>
      <c r="X370" s="303"/>
      <c r="Y370" s="303"/>
      <c r="Z370" s="303"/>
      <c r="AA370" s="303"/>
      <c r="AB370" s="303"/>
      <c r="AC370" s="304">
        <v>10350</v>
      </c>
      <c r="AD370" s="300">
        <v>10350</v>
      </c>
      <c r="AE370" s="300">
        <v>10080</v>
      </c>
      <c r="AF370" s="305">
        <v>9945</v>
      </c>
      <c r="AG370" s="294">
        <v>9945</v>
      </c>
      <c r="AH370" s="294">
        <v>9945</v>
      </c>
      <c r="AI370" s="294">
        <v>9945</v>
      </c>
      <c r="AJ370" s="294">
        <v>8025</v>
      </c>
      <c r="AK370" s="294">
        <v>7905</v>
      </c>
      <c r="AL370" s="294">
        <v>8805</v>
      </c>
      <c r="AM370" s="294">
        <v>8805</v>
      </c>
    </row>
    <row r="371" spans="1:39" x14ac:dyDescent="0.2">
      <c r="A371" s="294" t="s">
        <v>263</v>
      </c>
      <c r="C371" s="294" t="s">
        <v>315</v>
      </c>
      <c r="D371" s="294" t="s">
        <v>320</v>
      </c>
      <c r="E371" s="304">
        <v>5420</v>
      </c>
      <c r="F371" s="300">
        <v>5105</v>
      </c>
      <c r="G371" s="300">
        <v>4545</v>
      </c>
      <c r="H371" s="303">
        <v>4500</v>
      </c>
      <c r="I371" s="303">
        <v>4296</v>
      </c>
      <c r="J371" s="303">
        <v>4229</v>
      </c>
      <c r="K371" s="303">
        <v>3891</v>
      </c>
      <c r="L371" s="303">
        <v>3756</v>
      </c>
      <c r="M371" s="303">
        <v>3666</v>
      </c>
      <c r="N371" s="303">
        <v>3425</v>
      </c>
      <c r="O371" s="303">
        <v>3332</v>
      </c>
      <c r="P371" s="303"/>
      <c r="Q371" s="303"/>
      <c r="R371" s="303"/>
      <c r="S371" s="303"/>
      <c r="T371" s="303"/>
      <c r="U371" s="303"/>
      <c r="V371" s="303"/>
      <c r="W371" s="303"/>
      <c r="X371" s="303"/>
      <c r="Y371" s="303"/>
      <c r="Z371" s="303"/>
      <c r="AA371" s="303"/>
      <c r="AB371" s="303"/>
      <c r="AC371" s="304">
        <v>11495</v>
      </c>
      <c r="AD371" s="300">
        <v>11045</v>
      </c>
      <c r="AE371" s="300">
        <v>10350</v>
      </c>
      <c r="AF371" s="305">
        <v>10236</v>
      </c>
      <c r="AG371" s="294">
        <v>10056</v>
      </c>
      <c r="AH371" s="294">
        <v>9764</v>
      </c>
      <c r="AI371" s="294">
        <v>9561</v>
      </c>
      <c r="AJ371" s="294">
        <v>9426</v>
      </c>
      <c r="AK371" s="294">
        <v>9426</v>
      </c>
      <c r="AL371" s="294">
        <v>9185</v>
      </c>
      <c r="AM371" s="294">
        <v>9047</v>
      </c>
    </row>
    <row r="372" spans="1:39" x14ac:dyDescent="0.2">
      <c r="A372" s="294" t="s">
        <v>263</v>
      </c>
      <c r="C372" s="294" t="s">
        <v>315</v>
      </c>
      <c r="D372" s="294" t="s">
        <v>319</v>
      </c>
      <c r="E372" s="304">
        <v>5550</v>
      </c>
      <c r="F372" s="300">
        <v>5325</v>
      </c>
      <c r="G372" s="300">
        <v>4875</v>
      </c>
      <c r="H372" s="303">
        <v>4680</v>
      </c>
      <c r="I372" s="303">
        <v>4680</v>
      </c>
      <c r="J372" s="303">
        <v>4500</v>
      </c>
      <c r="K372" s="303">
        <v>4605</v>
      </c>
      <c r="L372" s="303">
        <v>3705</v>
      </c>
      <c r="M372" s="303">
        <v>3615</v>
      </c>
      <c r="N372" s="303">
        <v>3390</v>
      </c>
      <c r="O372" s="303">
        <v>3300</v>
      </c>
      <c r="P372" s="303"/>
      <c r="Q372" s="303"/>
      <c r="R372" s="303"/>
      <c r="S372" s="303"/>
      <c r="T372" s="303"/>
      <c r="U372" s="303"/>
      <c r="V372" s="303"/>
      <c r="W372" s="303"/>
      <c r="X372" s="303"/>
      <c r="Y372" s="303"/>
      <c r="Z372" s="303"/>
      <c r="AA372" s="303"/>
      <c r="AB372" s="303"/>
      <c r="AC372" s="304">
        <v>6630</v>
      </c>
      <c r="AD372" s="300">
        <v>6360</v>
      </c>
      <c r="AE372" s="300">
        <v>5865</v>
      </c>
      <c r="AF372" s="305">
        <v>5580</v>
      </c>
      <c r="AG372" s="294">
        <v>5580</v>
      </c>
      <c r="AH372" s="294">
        <v>5355</v>
      </c>
      <c r="AI372" s="294">
        <v>5460</v>
      </c>
      <c r="AJ372" s="294">
        <v>4425</v>
      </c>
      <c r="AK372" s="294">
        <v>4335</v>
      </c>
      <c r="AL372" s="294">
        <v>4065</v>
      </c>
      <c r="AM372" s="294">
        <v>3930</v>
      </c>
    </row>
    <row r="373" spans="1:39" x14ac:dyDescent="0.2">
      <c r="A373" s="294" t="s">
        <v>263</v>
      </c>
      <c r="C373" s="294" t="s">
        <v>315</v>
      </c>
      <c r="D373" s="294" t="s">
        <v>318</v>
      </c>
      <c r="E373" s="304">
        <v>5913</v>
      </c>
      <c r="F373" s="300">
        <v>5760</v>
      </c>
      <c r="G373" s="300">
        <v>5670</v>
      </c>
      <c r="H373" s="303">
        <v>5481</v>
      </c>
      <c r="I373" s="303">
        <v>5193</v>
      </c>
      <c r="J373" s="303">
        <v>5004</v>
      </c>
      <c r="K373" s="303">
        <v>4734</v>
      </c>
      <c r="L373" s="303">
        <v>4275</v>
      </c>
      <c r="M373" s="303">
        <v>4095</v>
      </c>
      <c r="N373" s="303">
        <v>3015</v>
      </c>
      <c r="O373" s="303">
        <v>3015</v>
      </c>
      <c r="P373" s="303"/>
      <c r="Q373" s="303"/>
      <c r="R373" s="303"/>
      <c r="S373" s="303"/>
      <c r="T373" s="303"/>
      <c r="U373" s="303"/>
      <c r="V373" s="303"/>
      <c r="W373" s="303"/>
      <c r="X373" s="303"/>
      <c r="Y373" s="303"/>
      <c r="Z373" s="303"/>
      <c r="AA373" s="303"/>
      <c r="AB373" s="303"/>
      <c r="AC373" s="304">
        <v>5913</v>
      </c>
      <c r="AD373" s="300">
        <v>5760</v>
      </c>
      <c r="AE373" s="300">
        <v>5670</v>
      </c>
      <c r="AF373" s="305">
        <v>5337</v>
      </c>
      <c r="AG373" s="294">
        <v>5193</v>
      </c>
      <c r="AH373" s="294">
        <v>5004</v>
      </c>
      <c r="AI373" s="294">
        <v>4734</v>
      </c>
      <c r="AJ373" s="294">
        <v>4275</v>
      </c>
      <c r="AK373" s="294">
        <v>4095</v>
      </c>
      <c r="AL373" s="294">
        <v>3015</v>
      </c>
      <c r="AM373" s="294">
        <v>3015</v>
      </c>
    </row>
    <row r="374" spans="1:39" x14ac:dyDescent="0.2">
      <c r="A374" s="294" t="s">
        <v>263</v>
      </c>
      <c r="C374" s="294" t="s">
        <v>315</v>
      </c>
      <c r="D374" s="294" t="s">
        <v>317</v>
      </c>
      <c r="E374" s="304">
        <v>4860</v>
      </c>
      <c r="F374" s="300">
        <v>4815</v>
      </c>
      <c r="G374" s="300">
        <v>4545</v>
      </c>
      <c r="H374" s="303">
        <v>4770</v>
      </c>
      <c r="I374" s="303">
        <v>4545</v>
      </c>
      <c r="J374" s="303">
        <v>4320</v>
      </c>
      <c r="K374" s="303">
        <v>4095</v>
      </c>
      <c r="L374" s="303">
        <v>3864</v>
      </c>
      <c r="M374" s="303">
        <v>3720</v>
      </c>
      <c r="N374" s="303">
        <v>3429</v>
      </c>
      <c r="O374" s="303">
        <v>3339</v>
      </c>
      <c r="P374" s="303"/>
      <c r="Q374" s="303"/>
      <c r="R374" s="303"/>
      <c r="S374" s="303"/>
      <c r="T374" s="303"/>
      <c r="U374" s="303"/>
      <c r="V374" s="303"/>
      <c r="W374" s="303"/>
      <c r="X374" s="303"/>
      <c r="Y374" s="303"/>
      <c r="Z374" s="303"/>
      <c r="AA374" s="303"/>
      <c r="AB374" s="303"/>
      <c r="AC374" s="304">
        <v>5760</v>
      </c>
      <c r="AD374" s="300">
        <v>5715</v>
      </c>
      <c r="AE374" s="300">
        <v>5445</v>
      </c>
      <c r="AF374" s="305">
        <v>5670</v>
      </c>
      <c r="AG374" s="294">
        <v>5445</v>
      </c>
      <c r="AH374" s="294">
        <v>5220</v>
      </c>
      <c r="AI374" s="294">
        <v>4995</v>
      </c>
      <c r="AJ374" s="294">
        <v>4764</v>
      </c>
      <c r="AK374" s="294">
        <v>4620</v>
      </c>
      <c r="AL374" s="294">
        <v>4329</v>
      </c>
      <c r="AM374" s="294">
        <v>4239</v>
      </c>
    </row>
    <row r="375" spans="1:39" x14ac:dyDescent="0.2">
      <c r="A375" s="294" t="s">
        <v>263</v>
      </c>
      <c r="C375" s="294" t="s">
        <v>315</v>
      </c>
      <c r="D375" s="294" t="s">
        <v>316</v>
      </c>
      <c r="E375" s="304">
        <v>5445</v>
      </c>
      <c r="F375" s="300">
        <v>5445</v>
      </c>
      <c r="G375" s="300">
        <v>5400</v>
      </c>
      <c r="H375" s="303">
        <v>5310</v>
      </c>
      <c r="I375" s="303">
        <v>4950</v>
      </c>
      <c r="J375" s="303">
        <v>4725</v>
      </c>
      <c r="K375" s="303">
        <v>4455</v>
      </c>
      <c r="L375" s="303">
        <v>4050</v>
      </c>
      <c r="M375" s="303">
        <v>3825</v>
      </c>
      <c r="N375" s="303">
        <v>3600</v>
      </c>
      <c r="O375" s="303">
        <v>3420</v>
      </c>
      <c r="P375" s="303"/>
      <c r="Q375" s="303"/>
      <c r="R375" s="303"/>
      <c r="S375" s="303"/>
      <c r="T375" s="303"/>
      <c r="U375" s="303"/>
      <c r="V375" s="303"/>
      <c r="W375" s="303"/>
      <c r="X375" s="303"/>
      <c r="Y375" s="303"/>
      <c r="Z375" s="303"/>
      <c r="AA375" s="303"/>
      <c r="AB375" s="303"/>
      <c r="AC375" s="304">
        <v>5895</v>
      </c>
      <c r="AD375" s="300">
        <v>5895</v>
      </c>
      <c r="AE375" s="300">
        <v>5850</v>
      </c>
      <c r="AF375" s="305">
        <v>5760</v>
      </c>
      <c r="AG375" s="294">
        <v>5400</v>
      </c>
      <c r="AH375" s="294">
        <v>5175</v>
      </c>
      <c r="AI375" s="294">
        <v>4905</v>
      </c>
      <c r="AJ375" s="294">
        <v>4500</v>
      </c>
      <c r="AK375" s="294">
        <v>4275</v>
      </c>
      <c r="AL375" s="294">
        <v>4050</v>
      </c>
      <c r="AM375" s="294">
        <v>3870</v>
      </c>
    </row>
    <row r="376" spans="1:39" x14ac:dyDescent="0.2">
      <c r="A376" s="294" t="s">
        <v>263</v>
      </c>
      <c r="C376" s="294" t="s">
        <v>315</v>
      </c>
      <c r="D376" s="294" t="s">
        <v>314</v>
      </c>
      <c r="E376" s="304">
        <v>5514</v>
      </c>
      <c r="F376" s="300">
        <v>5163</v>
      </c>
      <c r="G376" s="300">
        <v>4545</v>
      </c>
      <c r="H376" s="303">
        <v>4500</v>
      </c>
      <c r="I376" s="303">
        <v>4312</v>
      </c>
      <c r="J376" s="303">
        <v>3863</v>
      </c>
      <c r="K376" s="303">
        <v>3372</v>
      </c>
      <c r="L376" s="303">
        <v>3353</v>
      </c>
      <c r="M376" s="303">
        <v>3915</v>
      </c>
      <c r="N376" s="303">
        <v>3150</v>
      </c>
      <c r="O376" s="303">
        <v>3105</v>
      </c>
      <c r="P376" s="303"/>
      <c r="Q376" s="303"/>
      <c r="R376" s="303"/>
      <c r="S376" s="303"/>
      <c r="T376" s="303"/>
      <c r="U376" s="303"/>
      <c r="V376" s="303"/>
      <c r="W376" s="303"/>
      <c r="X376" s="303"/>
      <c r="Y376" s="303"/>
      <c r="Z376" s="303"/>
      <c r="AA376" s="303"/>
      <c r="AB376" s="303"/>
      <c r="AC376" s="304">
        <v>6189</v>
      </c>
      <c r="AD376" s="300">
        <v>10373</v>
      </c>
      <c r="AE376" s="300">
        <v>9810</v>
      </c>
      <c r="AF376" s="305">
        <v>9720</v>
      </c>
      <c r="AG376" s="294">
        <v>9532</v>
      </c>
      <c r="AH376" s="294">
        <v>9533</v>
      </c>
      <c r="AI376" s="294">
        <v>9042</v>
      </c>
      <c r="AJ376" s="294">
        <v>9023</v>
      </c>
      <c r="AK376" s="294">
        <v>9495</v>
      </c>
      <c r="AL376" s="294">
        <v>8820</v>
      </c>
      <c r="AM376" s="294">
        <v>8685</v>
      </c>
    </row>
    <row r="377" spans="1:39" x14ac:dyDescent="0.2">
      <c r="A377" s="294" t="s">
        <v>263</v>
      </c>
      <c r="C377" s="294" t="s">
        <v>310</v>
      </c>
      <c r="D377" s="294" t="s">
        <v>313</v>
      </c>
      <c r="E377" s="304">
        <v>6804</v>
      </c>
      <c r="F377" s="300">
        <v>7734</v>
      </c>
      <c r="G377" s="300">
        <v>7508</v>
      </c>
      <c r="H377" s="303">
        <v>7138</v>
      </c>
      <c r="I377" s="303">
        <v>6523</v>
      </c>
      <c r="J377" s="303">
        <v>6379</v>
      </c>
      <c r="K377" s="303">
        <v>5990</v>
      </c>
      <c r="L377" s="303">
        <v>5445</v>
      </c>
      <c r="M377" s="303">
        <v>4752</v>
      </c>
      <c r="N377" s="303">
        <v>4583</v>
      </c>
      <c r="O377" s="303">
        <v>4238</v>
      </c>
      <c r="P377" s="303"/>
      <c r="Q377" s="303"/>
      <c r="R377" s="303"/>
      <c r="S377" s="303"/>
      <c r="T377" s="303"/>
      <c r="U377" s="303"/>
      <c r="V377" s="303"/>
      <c r="W377" s="303"/>
      <c r="X377" s="303"/>
      <c r="Y377" s="303"/>
      <c r="Z377" s="303"/>
      <c r="AA377" s="303"/>
      <c r="AB377" s="303"/>
      <c r="AC377" s="304">
        <v>6804</v>
      </c>
      <c r="AD377" s="300">
        <v>7734</v>
      </c>
      <c r="AE377" s="300">
        <v>7508</v>
      </c>
      <c r="AF377" s="305">
        <v>7138</v>
      </c>
      <c r="AG377" s="294">
        <v>6523</v>
      </c>
      <c r="AH377" s="294">
        <v>6379</v>
      </c>
      <c r="AI377" s="294">
        <v>5990</v>
      </c>
      <c r="AJ377" s="294">
        <v>5445</v>
      </c>
      <c r="AK377" s="294">
        <v>4752</v>
      </c>
      <c r="AL377" s="294">
        <v>4583</v>
      </c>
      <c r="AM377" s="294">
        <v>4238</v>
      </c>
    </row>
    <row r="378" spans="1:39" x14ac:dyDescent="0.2">
      <c r="A378" s="294" t="s">
        <v>263</v>
      </c>
      <c r="C378" s="294" t="s">
        <v>310</v>
      </c>
      <c r="D378" s="294" t="s">
        <v>312</v>
      </c>
      <c r="E378" s="304">
        <v>6720</v>
      </c>
      <c r="F378" s="300">
        <v>6592</v>
      </c>
      <c r="G378" s="300">
        <v>5892</v>
      </c>
      <c r="H378" s="303">
        <v>6012</v>
      </c>
      <c r="I378" s="303">
        <v>5645</v>
      </c>
      <c r="J378" s="303">
        <v>5250</v>
      </c>
      <c r="K378" s="303">
        <v>4962</v>
      </c>
      <c r="L378" s="303">
        <v>4622</v>
      </c>
      <c r="M378" s="303">
        <v>4422</v>
      </c>
      <c r="N378" s="303">
        <v>3956</v>
      </c>
      <c r="O378" s="303">
        <v>3600</v>
      </c>
      <c r="P378" s="303"/>
      <c r="Q378" s="303"/>
      <c r="R378" s="303"/>
      <c r="S378" s="303"/>
      <c r="T378" s="303"/>
      <c r="U378" s="303"/>
      <c r="V378" s="303"/>
      <c r="W378" s="303"/>
      <c r="X378" s="303"/>
      <c r="Y378" s="303"/>
      <c r="Z378" s="303"/>
      <c r="AA378" s="303"/>
      <c r="AB378" s="303"/>
      <c r="AC378" s="304">
        <v>6720</v>
      </c>
      <c r="AD378" s="300">
        <v>6592</v>
      </c>
      <c r="AE378" s="300">
        <v>5892</v>
      </c>
      <c r="AF378" s="305">
        <v>6012</v>
      </c>
      <c r="AG378" s="294">
        <v>5645</v>
      </c>
      <c r="AH378" s="294">
        <v>5250</v>
      </c>
      <c r="AI378" s="294">
        <v>4962</v>
      </c>
      <c r="AJ378" s="294">
        <v>4622</v>
      </c>
      <c r="AK378" s="294">
        <v>4422</v>
      </c>
      <c r="AL378" s="294">
        <v>3956</v>
      </c>
      <c r="AM378" s="294">
        <v>3600</v>
      </c>
    </row>
    <row r="379" spans="1:39" x14ac:dyDescent="0.2">
      <c r="A379" s="294" t="s">
        <v>263</v>
      </c>
      <c r="C379" s="294" t="s">
        <v>310</v>
      </c>
      <c r="D379" s="294" t="s">
        <v>311</v>
      </c>
      <c r="E379" s="304">
        <v>7200</v>
      </c>
      <c r="F379" s="300">
        <v>7050</v>
      </c>
      <c r="G379" s="300">
        <v>6900</v>
      </c>
      <c r="H379" s="303">
        <v>6600</v>
      </c>
      <c r="I379" s="303">
        <v>6090</v>
      </c>
      <c r="J379" s="303">
        <v>5310</v>
      </c>
      <c r="K379" s="303">
        <v>4830</v>
      </c>
      <c r="L379" s="303">
        <v>4507</v>
      </c>
      <c r="M379" s="303">
        <v>4237</v>
      </c>
      <c r="N379" s="303">
        <v>3817</v>
      </c>
      <c r="O379" s="303">
        <v>3592</v>
      </c>
      <c r="P379" s="303"/>
      <c r="Q379" s="303"/>
      <c r="R379" s="303"/>
      <c r="S379" s="303"/>
      <c r="T379" s="303"/>
      <c r="U379" s="303"/>
      <c r="V379" s="303"/>
      <c r="W379" s="303"/>
      <c r="X379" s="303"/>
      <c r="Y379" s="303"/>
      <c r="Z379" s="303"/>
      <c r="AA379" s="303"/>
      <c r="AB379" s="303"/>
      <c r="AC379" s="304">
        <v>7200</v>
      </c>
      <c r="AD379" s="300">
        <v>7050</v>
      </c>
      <c r="AE379" s="300">
        <v>6900</v>
      </c>
      <c r="AF379" s="305">
        <v>6600</v>
      </c>
      <c r="AG379" s="294">
        <v>6090</v>
      </c>
      <c r="AH379" s="294">
        <v>5310</v>
      </c>
      <c r="AI379" s="294">
        <v>4830</v>
      </c>
      <c r="AJ379" s="294">
        <v>4507</v>
      </c>
      <c r="AK379" s="294">
        <v>4237</v>
      </c>
      <c r="AL379" s="294">
        <v>3817</v>
      </c>
      <c r="AM379" s="294">
        <v>3592</v>
      </c>
    </row>
    <row r="380" spans="1:39" x14ac:dyDescent="0.2">
      <c r="A380" s="294" t="s">
        <v>263</v>
      </c>
      <c r="C380" s="294" t="s">
        <v>310</v>
      </c>
      <c r="D380" s="294" t="s">
        <v>309</v>
      </c>
      <c r="E380" s="304">
        <v>7710</v>
      </c>
      <c r="F380" s="300">
        <v>6900</v>
      </c>
      <c r="G380" s="300">
        <v>6150</v>
      </c>
      <c r="H380" s="303">
        <v>5850</v>
      </c>
      <c r="I380" s="303">
        <v>5490</v>
      </c>
      <c r="J380" s="303">
        <v>5280</v>
      </c>
      <c r="K380" s="303">
        <v>5040</v>
      </c>
      <c r="L380" s="303">
        <v>4590</v>
      </c>
      <c r="M380" s="303">
        <v>4164</v>
      </c>
      <c r="N380" s="303">
        <v>3885</v>
      </c>
      <c r="O380" s="303">
        <v>3719</v>
      </c>
      <c r="P380" s="303"/>
      <c r="Q380" s="303"/>
      <c r="R380" s="303"/>
      <c r="S380" s="303"/>
      <c r="T380" s="303"/>
      <c r="U380" s="303"/>
      <c r="V380" s="303"/>
      <c r="W380" s="303"/>
      <c r="X380" s="303"/>
      <c r="Y380" s="303"/>
      <c r="Z380" s="303"/>
      <c r="AA380" s="303"/>
      <c r="AB380" s="303"/>
      <c r="AC380" s="304">
        <v>7710</v>
      </c>
      <c r="AD380" s="300">
        <v>6900</v>
      </c>
      <c r="AE380" s="300">
        <v>6150</v>
      </c>
      <c r="AF380" s="305">
        <v>5850</v>
      </c>
      <c r="AG380" s="294">
        <v>5490</v>
      </c>
      <c r="AH380" s="294">
        <v>5280</v>
      </c>
      <c r="AI380" s="294">
        <v>5040</v>
      </c>
      <c r="AJ380" s="294">
        <v>4590</v>
      </c>
      <c r="AK380" s="294">
        <v>4164</v>
      </c>
      <c r="AL380" s="294">
        <v>3885</v>
      </c>
      <c r="AM380" s="294">
        <v>3719</v>
      </c>
    </row>
    <row r="381" spans="1:39" x14ac:dyDescent="0.2">
      <c r="A381" s="311" t="s">
        <v>263</v>
      </c>
      <c r="B381" s="311" t="s">
        <v>262</v>
      </c>
      <c r="C381" s="311" t="s">
        <v>306</v>
      </c>
      <c r="D381" s="311" t="s">
        <v>308</v>
      </c>
      <c r="E381" s="310">
        <v>1948.18</v>
      </c>
      <c r="F381" s="309">
        <v>3749</v>
      </c>
      <c r="G381" s="309">
        <v>3595</v>
      </c>
      <c r="H381" s="309">
        <v>3490</v>
      </c>
      <c r="I381" s="309">
        <v>3221</v>
      </c>
      <c r="J381" s="309">
        <v>3070</v>
      </c>
      <c r="K381" s="309">
        <v>2922</v>
      </c>
      <c r="L381" s="309">
        <v>2670</v>
      </c>
      <c r="M381" s="309">
        <v>2470</v>
      </c>
      <c r="N381" s="309">
        <v>2242</v>
      </c>
      <c r="O381" s="309">
        <v>2161</v>
      </c>
      <c r="P381" s="309"/>
      <c r="Q381" s="309"/>
      <c r="R381" s="309"/>
      <c r="S381" s="309"/>
      <c r="T381" s="309"/>
      <c r="U381" s="309"/>
      <c r="V381" s="309"/>
      <c r="W381" s="309"/>
      <c r="X381" s="309"/>
      <c r="Y381" s="309"/>
      <c r="Z381" s="309"/>
      <c r="AA381" s="309"/>
      <c r="AB381" s="309"/>
      <c r="AC381" s="310">
        <v>6122</v>
      </c>
      <c r="AD381" s="309">
        <v>6999</v>
      </c>
      <c r="AE381" s="309">
        <v>6689</v>
      </c>
      <c r="AF381" s="308">
        <v>6480</v>
      </c>
      <c r="AG381" s="307">
        <v>5973</v>
      </c>
      <c r="AH381" s="307">
        <v>5690</v>
      </c>
      <c r="AI381" s="307">
        <v>5394</v>
      </c>
      <c r="AJ381" s="307">
        <v>4940</v>
      </c>
      <c r="AK381" s="307">
        <v>4540</v>
      </c>
      <c r="AL381" s="307">
        <v>4142</v>
      </c>
      <c r="AM381" s="307">
        <v>7964</v>
      </c>
    </row>
    <row r="382" spans="1:39" x14ac:dyDescent="0.2">
      <c r="A382" s="311" t="s">
        <v>263</v>
      </c>
      <c r="B382" s="311" t="s">
        <v>262</v>
      </c>
      <c r="C382" s="311" t="s">
        <v>306</v>
      </c>
      <c r="D382" s="311" t="s">
        <v>307</v>
      </c>
      <c r="E382" s="310">
        <v>3843</v>
      </c>
      <c r="F382" s="309">
        <v>3781</v>
      </c>
      <c r="G382" s="309">
        <v>3690</v>
      </c>
      <c r="H382" s="309">
        <v>3568</v>
      </c>
      <c r="I382" s="309">
        <v>3242</v>
      </c>
      <c r="J382" s="309">
        <v>3170</v>
      </c>
      <c r="K382" s="309">
        <v>3052</v>
      </c>
      <c r="L382" s="309">
        <v>2932</v>
      </c>
      <c r="M382" s="309">
        <v>2790</v>
      </c>
      <c r="N382" s="309">
        <v>3660</v>
      </c>
      <c r="O382" s="309">
        <v>2535</v>
      </c>
      <c r="P382" s="309"/>
      <c r="Q382" s="309"/>
      <c r="R382" s="309"/>
      <c r="S382" s="309"/>
      <c r="T382" s="309"/>
      <c r="U382" s="309"/>
      <c r="V382" s="309"/>
      <c r="W382" s="309"/>
      <c r="X382" s="309"/>
      <c r="Y382" s="309"/>
      <c r="Z382" s="309"/>
      <c r="AA382" s="309"/>
      <c r="AB382" s="309"/>
      <c r="AC382" s="310">
        <v>12206</v>
      </c>
      <c r="AD382" s="309">
        <v>12020</v>
      </c>
      <c r="AE382" s="309">
        <v>11728</v>
      </c>
      <c r="AF382" s="308">
        <v>11336</v>
      </c>
      <c r="AG382" s="307">
        <v>10594</v>
      </c>
      <c r="AH382" s="307">
        <v>10012</v>
      </c>
      <c r="AI382" s="307">
        <v>9604</v>
      </c>
      <c r="AJ382" s="307">
        <v>9172</v>
      </c>
      <c r="AK382" s="307">
        <v>8730</v>
      </c>
      <c r="AL382" s="307">
        <v>8374</v>
      </c>
      <c r="AM382" s="307">
        <v>7955</v>
      </c>
    </row>
    <row r="383" spans="1:39" x14ac:dyDescent="0.2">
      <c r="A383" s="311" t="s">
        <v>263</v>
      </c>
      <c r="B383" s="311" t="s">
        <v>262</v>
      </c>
      <c r="C383" s="311" t="s">
        <v>306</v>
      </c>
      <c r="D383" s="311" t="s">
        <v>197</v>
      </c>
      <c r="E383" s="310">
        <v>3742</v>
      </c>
      <c r="F383" s="309">
        <v>3686</v>
      </c>
      <c r="G383" s="309">
        <v>3592</v>
      </c>
      <c r="H383" s="309">
        <v>3484</v>
      </c>
      <c r="I383" s="309">
        <v>3220</v>
      </c>
      <c r="J383" s="309">
        <v>3086</v>
      </c>
      <c r="K383" s="309">
        <v>2910</v>
      </c>
      <c r="L383" s="309">
        <v>2746</v>
      </c>
      <c r="M383" s="309">
        <v>2542</v>
      </c>
      <c r="N383" s="309">
        <v>2347</v>
      </c>
      <c r="O383" s="309">
        <v>2262</v>
      </c>
      <c r="P383" s="309"/>
      <c r="Q383" s="309"/>
      <c r="R383" s="309"/>
      <c r="S383" s="309"/>
      <c r="T383" s="309"/>
      <c r="U383" s="309"/>
      <c r="V383" s="309"/>
      <c r="W383" s="309"/>
      <c r="X383" s="309"/>
      <c r="Y383" s="309"/>
      <c r="Z383" s="309"/>
      <c r="AA383" s="309"/>
      <c r="AB383" s="309"/>
      <c r="AC383" s="310">
        <v>12562</v>
      </c>
      <c r="AD383" s="309">
        <v>12376</v>
      </c>
      <c r="AE383" s="309">
        <v>12071</v>
      </c>
      <c r="AF383" s="308">
        <v>11676</v>
      </c>
      <c r="AG383" s="307">
        <v>10722</v>
      </c>
      <c r="AH383" s="307">
        <v>10230</v>
      </c>
      <c r="AI383" s="307">
        <v>9586</v>
      </c>
      <c r="AJ383" s="307">
        <v>8984</v>
      </c>
      <c r="AK383" s="307">
        <v>8238</v>
      </c>
      <c r="AL383" s="307">
        <v>8227</v>
      </c>
      <c r="AM383" s="307">
        <v>7890</v>
      </c>
    </row>
    <row r="384" spans="1:39" ht="13.5" customHeight="1" x14ac:dyDescent="0.2">
      <c r="A384" s="294" t="s">
        <v>263</v>
      </c>
      <c r="C384" s="294" t="s">
        <v>271</v>
      </c>
      <c r="D384" s="294" t="s">
        <v>305</v>
      </c>
      <c r="E384" s="304">
        <v>4865</v>
      </c>
      <c r="F384" s="300">
        <v>4677</v>
      </c>
      <c r="G384" s="300">
        <v>4602</v>
      </c>
      <c r="H384" s="303">
        <v>4703</v>
      </c>
      <c r="I384" s="303">
        <v>4626</v>
      </c>
      <c r="J384" s="303">
        <v>4564</v>
      </c>
      <c r="K384" s="303">
        <v>4085</v>
      </c>
      <c r="L384" s="303">
        <v>3630</v>
      </c>
      <c r="M384" s="303">
        <v>3144</v>
      </c>
      <c r="N384" s="303">
        <v>4142</v>
      </c>
      <c r="O384" s="303">
        <v>3948</v>
      </c>
      <c r="P384" s="303"/>
      <c r="Q384" s="303"/>
      <c r="R384" s="303"/>
      <c r="S384" s="303"/>
      <c r="T384" s="303"/>
      <c r="U384" s="303"/>
      <c r="V384" s="303"/>
      <c r="W384" s="303"/>
      <c r="X384" s="303"/>
      <c r="Y384" s="303"/>
      <c r="Z384" s="303"/>
      <c r="AA384" s="303"/>
      <c r="AB384" s="303"/>
      <c r="AC384" s="304">
        <v>10296</v>
      </c>
      <c r="AD384" s="300">
        <v>10095</v>
      </c>
      <c r="AE384" s="300">
        <v>10011</v>
      </c>
      <c r="AF384" s="305">
        <v>10106</v>
      </c>
      <c r="AG384" s="294">
        <v>9861</v>
      </c>
      <c r="AH384" s="294">
        <v>9800</v>
      </c>
      <c r="AI384" s="294">
        <v>9320</v>
      </c>
      <c r="AJ384" s="294">
        <v>8865</v>
      </c>
      <c r="AK384" s="294">
        <v>9999</v>
      </c>
      <c r="AL384" s="294">
        <v>4142</v>
      </c>
    </row>
    <row r="385" spans="1:39" x14ac:dyDescent="0.2">
      <c r="A385" s="294" t="s">
        <v>263</v>
      </c>
      <c r="C385" s="294" t="s">
        <v>271</v>
      </c>
      <c r="D385" s="294" t="s">
        <v>304</v>
      </c>
      <c r="E385" s="304">
        <v>4258</v>
      </c>
      <c r="F385" s="300">
        <v>4167</v>
      </c>
      <c r="G385" s="300">
        <v>4083</v>
      </c>
      <c r="H385" s="303">
        <v>4077</v>
      </c>
      <c r="I385" s="303">
        <v>4231</v>
      </c>
      <c r="J385" s="303">
        <v>4240</v>
      </c>
      <c r="K385" s="303">
        <v>3782</v>
      </c>
      <c r="L385" s="303">
        <v>3375</v>
      </c>
      <c r="M385" s="303">
        <v>3165</v>
      </c>
      <c r="N385" s="303">
        <v>2940</v>
      </c>
      <c r="O385" s="303">
        <v>2886</v>
      </c>
      <c r="P385" s="303"/>
      <c r="Q385" s="303"/>
      <c r="R385" s="303"/>
      <c r="S385" s="303"/>
      <c r="T385" s="303"/>
      <c r="U385" s="303"/>
      <c r="V385" s="303"/>
      <c r="W385" s="303"/>
      <c r="X385" s="303"/>
      <c r="Y385" s="303"/>
      <c r="Z385" s="303"/>
      <c r="AA385" s="303"/>
      <c r="AB385" s="303"/>
      <c r="AC385" s="304">
        <v>9689</v>
      </c>
      <c r="AD385" s="300">
        <v>9585</v>
      </c>
      <c r="AE385" s="300">
        <v>9492</v>
      </c>
      <c r="AF385" s="305">
        <v>9480</v>
      </c>
      <c r="AG385" s="294">
        <v>9466</v>
      </c>
      <c r="AH385" s="294">
        <v>9475</v>
      </c>
      <c r="AI385" s="294">
        <v>9017</v>
      </c>
      <c r="AJ385" s="294">
        <v>8610</v>
      </c>
      <c r="AK385" s="294">
        <v>8385</v>
      </c>
      <c r="AL385" s="294">
        <v>8154</v>
      </c>
      <c r="AM385" s="294">
        <v>8094</v>
      </c>
    </row>
    <row r="386" spans="1:39" x14ac:dyDescent="0.2">
      <c r="A386" s="294" t="s">
        <v>263</v>
      </c>
      <c r="C386" s="294" t="s">
        <v>271</v>
      </c>
      <c r="D386" s="294" t="s">
        <v>303</v>
      </c>
      <c r="E386" s="304">
        <v>4117</v>
      </c>
      <c r="F386" s="300">
        <v>3962</v>
      </c>
      <c r="G386" s="300">
        <v>3887</v>
      </c>
      <c r="H386" s="303">
        <v>3775</v>
      </c>
      <c r="I386" s="303">
        <v>3977</v>
      </c>
      <c r="J386" s="303">
        <v>3806</v>
      </c>
      <c r="K386" s="303">
        <v>3374</v>
      </c>
      <c r="L386" s="303">
        <v>2911</v>
      </c>
      <c r="M386" s="303">
        <v>2705</v>
      </c>
      <c r="N386" s="303">
        <v>2484</v>
      </c>
      <c r="O386" s="303">
        <v>2350</v>
      </c>
      <c r="P386" s="303"/>
      <c r="Q386" s="303"/>
      <c r="R386" s="303"/>
      <c r="S386" s="303"/>
      <c r="T386" s="303"/>
      <c r="U386" s="303"/>
      <c r="V386" s="303"/>
      <c r="W386" s="303"/>
      <c r="X386" s="303"/>
      <c r="Y386" s="303"/>
      <c r="Z386" s="303"/>
      <c r="AA386" s="303"/>
      <c r="AB386" s="303"/>
      <c r="AC386" s="304">
        <v>9548</v>
      </c>
      <c r="AD386" s="300">
        <v>9380</v>
      </c>
      <c r="AE386" s="300">
        <v>9296</v>
      </c>
      <c r="AF386" s="305">
        <v>9178</v>
      </c>
      <c r="AG386" s="294">
        <v>9212</v>
      </c>
      <c r="AH386" s="294">
        <v>9193</v>
      </c>
      <c r="AI386" s="294">
        <v>8209</v>
      </c>
      <c r="AJ386" s="294">
        <v>8345</v>
      </c>
      <c r="AK386" s="294">
        <v>7783</v>
      </c>
      <c r="AL386" s="294">
        <v>7230</v>
      </c>
    </row>
    <row r="387" spans="1:39" x14ac:dyDescent="0.2">
      <c r="A387" s="294" t="s">
        <v>263</v>
      </c>
      <c r="C387" s="294" t="s">
        <v>271</v>
      </c>
      <c r="D387" s="294" t="s">
        <v>302</v>
      </c>
      <c r="E387" s="304">
        <v>4281</v>
      </c>
      <c r="F387" s="300">
        <v>4161</v>
      </c>
      <c r="G387" s="300">
        <v>4077</v>
      </c>
      <c r="H387" s="303">
        <v>4071</v>
      </c>
      <c r="I387" s="303">
        <v>4150</v>
      </c>
      <c r="J387" s="303">
        <v>4150</v>
      </c>
      <c r="K387" s="303">
        <v>3692</v>
      </c>
      <c r="L387" s="303">
        <v>3225</v>
      </c>
      <c r="M387" s="303">
        <v>3015</v>
      </c>
      <c r="N387" s="303">
        <v>2820</v>
      </c>
      <c r="O387" s="303">
        <v>2766</v>
      </c>
      <c r="P387" s="303"/>
      <c r="Q387" s="303"/>
      <c r="R387" s="303"/>
      <c r="S387" s="303"/>
      <c r="T387" s="303"/>
      <c r="U387" s="303"/>
      <c r="V387" s="303"/>
      <c r="W387" s="303"/>
      <c r="X387" s="303"/>
      <c r="Y387" s="303"/>
      <c r="Z387" s="303"/>
      <c r="AA387" s="303"/>
      <c r="AB387" s="303"/>
      <c r="AC387" s="304">
        <v>9712</v>
      </c>
      <c r="AD387" s="300">
        <v>9579</v>
      </c>
      <c r="AE387" s="300">
        <v>9486</v>
      </c>
      <c r="AF387" s="305">
        <v>9474</v>
      </c>
      <c r="AG387" s="294">
        <v>9385</v>
      </c>
      <c r="AH387" s="294">
        <v>9385</v>
      </c>
      <c r="AI387" s="294">
        <v>8927</v>
      </c>
      <c r="AJ387" s="294">
        <v>8460</v>
      </c>
      <c r="AK387" s="294">
        <v>8235</v>
      </c>
      <c r="AL387" s="294">
        <v>8034</v>
      </c>
      <c r="AM387" s="294">
        <v>7974</v>
      </c>
    </row>
    <row r="388" spans="1:39" x14ac:dyDescent="0.2">
      <c r="A388" s="294" t="s">
        <v>263</v>
      </c>
      <c r="C388" s="294" t="s">
        <v>271</v>
      </c>
      <c r="D388" s="294" t="s">
        <v>301</v>
      </c>
      <c r="E388" s="304">
        <v>4108</v>
      </c>
      <c r="F388" s="300">
        <v>3939</v>
      </c>
      <c r="G388" s="300">
        <v>3952</v>
      </c>
      <c r="H388" s="303">
        <v>3947</v>
      </c>
      <c r="I388" s="303">
        <v>4120</v>
      </c>
      <c r="J388" s="303">
        <v>4120</v>
      </c>
      <c r="K388" s="303">
        <v>3662</v>
      </c>
      <c r="L388" s="303">
        <v>3225</v>
      </c>
      <c r="M388" s="303">
        <v>3045</v>
      </c>
      <c r="N388" s="303">
        <v>2850</v>
      </c>
      <c r="O388" s="303">
        <v>2796</v>
      </c>
      <c r="P388" s="303"/>
      <c r="Q388" s="303"/>
      <c r="R388" s="303"/>
      <c r="S388" s="303"/>
      <c r="T388" s="303"/>
      <c r="U388" s="303"/>
      <c r="V388" s="303"/>
      <c r="W388" s="303"/>
      <c r="X388" s="303"/>
      <c r="Y388" s="303"/>
      <c r="Z388" s="303"/>
      <c r="AA388" s="303"/>
      <c r="AB388" s="303"/>
      <c r="AC388" s="304">
        <v>9539</v>
      </c>
      <c r="AD388" s="300">
        <v>9357</v>
      </c>
      <c r="AE388" s="300">
        <v>9361</v>
      </c>
      <c r="AF388" s="305">
        <v>9350</v>
      </c>
      <c r="AG388" s="294">
        <v>9355</v>
      </c>
      <c r="AH388" s="294">
        <v>9355</v>
      </c>
      <c r="AI388" s="294">
        <v>8897</v>
      </c>
      <c r="AJ388" s="294">
        <v>8490</v>
      </c>
      <c r="AK388" s="294">
        <v>8265</v>
      </c>
      <c r="AL388" s="294">
        <v>8064</v>
      </c>
      <c r="AM388" s="294">
        <v>8004</v>
      </c>
    </row>
    <row r="389" spans="1:39" x14ac:dyDescent="0.2">
      <c r="A389" s="294" t="s">
        <v>263</v>
      </c>
      <c r="C389" s="294" t="s">
        <v>271</v>
      </c>
      <c r="D389" s="294" t="s">
        <v>300</v>
      </c>
      <c r="E389" s="304">
        <v>4423</v>
      </c>
      <c r="F389" s="300">
        <v>4343</v>
      </c>
      <c r="G389" s="300">
        <v>4187</v>
      </c>
      <c r="H389" s="303">
        <v>4211</v>
      </c>
      <c r="I389" s="303">
        <v>4335</v>
      </c>
      <c r="J389" s="303">
        <v>4335</v>
      </c>
      <c r="K389" s="303">
        <v>3854</v>
      </c>
      <c r="L389" s="303">
        <v>3427</v>
      </c>
      <c r="M389" s="303">
        <v>3206</v>
      </c>
      <c r="N389" s="303">
        <v>3002</v>
      </c>
      <c r="O389" s="303">
        <v>2945</v>
      </c>
      <c r="P389" s="303"/>
      <c r="Q389" s="303"/>
      <c r="R389" s="303"/>
      <c r="S389" s="303"/>
      <c r="T389" s="303"/>
      <c r="U389" s="303"/>
      <c r="V389" s="303"/>
      <c r="W389" s="303"/>
      <c r="X389" s="303"/>
      <c r="Y389" s="303"/>
      <c r="Z389" s="303"/>
      <c r="AA389" s="303"/>
      <c r="AB389" s="303"/>
      <c r="AC389" s="304">
        <v>9854</v>
      </c>
      <c r="AD389" s="300">
        <v>9761</v>
      </c>
      <c r="AE389" s="300">
        <v>9597</v>
      </c>
      <c r="AF389" s="305">
        <v>9204</v>
      </c>
      <c r="AG389" s="294">
        <v>9570</v>
      </c>
      <c r="AH389" s="294">
        <v>9570</v>
      </c>
      <c r="AI389" s="294">
        <v>9089</v>
      </c>
      <c r="AJ389" s="294">
        <v>8924</v>
      </c>
      <c r="AK389" s="294">
        <v>8426</v>
      </c>
      <c r="AL389" s="294">
        <v>8216</v>
      </c>
      <c r="AM389" s="294">
        <v>8153</v>
      </c>
    </row>
    <row r="390" spans="1:39" x14ac:dyDescent="0.2">
      <c r="A390" s="294" t="s">
        <v>263</v>
      </c>
      <c r="C390" s="294" t="s">
        <v>271</v>
      </c>
      <c r="D390" s="294" t="s">
        <v>299</v>
      </c>
      <c r="E390" s="304">
        <v>4231</v>
      </c>
      <c r="F390" s="300">
        <v>4065</v>
      </c>
      <c r="G390" s="300">
        <v>3985</v>
      </c>
      <c r="H390" s="303">
        <v>3930</v>
      </c>
      <c r="I390" s="303">
        <v>4154</v>
      </c>
      <c r="J390" s="303">
        <v>4154</v>
      </c>
      <c r="K390" s="303">
        <v>3743</v>
      </c>
      <c r="L390" s="303">
        <v>3364</v>
      </c>
      <c r="M390" s="303">
        <v>3175</v>
      </c>
      <c r="N390" s="303">
        <v>2962</v>
      </c>
      <c r="O390" s="303">
        <v>2912</v>
      </c>
      <c r="P390" s="303"/>
      <c r="Q390" s="303"/>
      <c r="R390" s="303"/>
      <c r="S390" s="303"/>
      <c r="T390" s="303"/>
      <c r="U390" s="303"/>
      <c r="V390" s="303"/>
      <c r="W390" s="303"/>
      <c r="X390" s="303"/>
      <c r="Y390" s="303"/>
      <c r="Z390" s="303"/>
      <c r="AA390" s="303"/>
      <c r="AB390" s="303"/>
      <c r="AC390" s="304">
        <v>9662</v>
      </c>
      <c r="AD390" s="300">
        <v>9483</v>
      </c>
      <c r="AE390" s="300">
        <v>9394</v>
      </c>
      <c r="AF390" s="305">
        <v>9333</v>
      </c>
      <c r="AG390" s="294">
        <v>9389</v>
      </c>
      <c r="AH390" s="294">
        <v>9389</v>
      </c>
      <c r="AI390" s="294">
        <v>8978</v>
      </c>
      <c r="AJ390" s="294">
        <v>8599</v>
      </c>
      <c r="AK390" s="294">
        <v>8395</v>
      </c>
      <c r="AL390" s="294">
        <v>8176</v>
      </c>
      <c r="AM390" s="294">
        <v>8120</v>
      </c>
    </row>
    <row r="391" spans="1:39" x14ac:dyDescent="0.2">
      <c r="A391" s="294" t="s">
        <v>263</v>
      </c>
      <c r="C391" s="294" t="s">
        <v>271</v>
      </c>
      <c r="D391" s="294" t="s">
        <v>298</v>
      </c>
      <c r="E391" s="304">
        <v>4136</v>
      </c>
      <c r="F391" s="300">
        <v>4190</v>
      </c>
      <c r="G391" s="300">
        <v>3926</v>
      </c>
      <c r="H391" s="303">
        <v>3886</v>
      </c>
      <c r="I391" s="303">
        <v>4040</v>
      </c>
      <c r="J391" s="303">
        <v>3968</v>
      </c>
      <c r="K391" s="303">
        <v>4020</v>
      </c>
      <c r="L391" s="303">
        <v>3684</v>
      </c>
      <c r="M391" s="303">
        <v>3357</v>
      </c>
      <c r="N391" s="303">
        <v>3128</v>
      </c>
      <c r="O391" s="303">
        <v>2979</v>
      </c>
      <c r="P391" s="303"/>
      <c r="Q391" s="303"/>
      <c r="R391" s="303"/>
      <c r="S391" s="303"/>
      <c r="T391" s="303"/>
      <c r="U391" s="303"/>
      <c r="V391" s="303"/>
      <c r="W391" s="303"/>
      <c r="X391" s="303"/>
      <c r="Y391" s="303"/>
      <c r="Z391" s="303"/>
      <c r="AA391" s="303"/>
      <c r="AB391" s="303"/>
      <c r="AC391" s="304">
        <v>9567</v>
      </c>
      <c r="AD391" s="300">
        <v>9608</v>
      </c>
      <c r="AE391" s="300">
        <v>9335</v>
      </c>
      <c r="AF391" s="305">
        <v>9289</v>
      </c>
      <c r="AG391" s="294">
        <v>9276</v>
      </c>
      <c r="AH391" s="294">
        <v>9204</v>
      </c>
      <c r="AI391" s="294">
        <v>8828</v>
      </c>
      <c r="AJ391" s="294">
        <v>7976</v>
      </c>
      <c r="AK391" s="294">
        <v>7369</v>
      </c>
      <c r="AL391" s="294">
        <v>7189</v>
      </c>
    </row>
    <row r="392" spans="1:39" x14ac:dyDescent="0.2">
      <c r="A392" s="294" t="s">
        <v>263</v>
      </c>
      <c r="C392" s="294" t="s">
        <v>271</v>
      </c>
      <c r="D392" s="294" t="s">
        <v>297</v>
      </c>
      <c r="E392" s="304">
        <v>4905</v>
      </c>
      <c r="F392" s="306">
        <v>4517</v>
      </c>
      <c r="G392" s="306" t="s">
        <v>273</v>
      </c>
      <c r="H392" s="303">
        <v>4241</v>
      </c>
      <c r="I392" s="303">
        <v>4350</v>
      </c>
      <c r="J392" s="303">
        <v>4395</v>
      </c>
      <c r="K392" s="303">
        <v>3932</v>
      </c>
      <c r="L392" s="303">
        <v>3297</v>
      </c>
      <c r="M392" s="303">
        <v>3098</v>
      </c>
      <c r="N392" s="303">
        <v>2936</v>
      </c>
      <c r="O392" s="303">
        <v>2867</v>
      </c>
      <c r="P392" s="303"/>
      <c r="Q392" s="303"/>
      <c r="R392" s="303"/>
      <c r="S392" s="303"/>
      <c r="T392" s="303"/>
      <c r="U392" s="303"/>
      <c r="V392" s="303"/>
      <c r="W392" s="303"/>
      <c r="X392" s="303"/>
      <c r="Y392" s="303"/>
      <c r="Z392" s="303"/>
      <c r="AA392" s="303"/>
      <c r="AB392" s="303"/>
      <c r="AC392" s="304">
        <v>10335</v>
      </c>
      <c r="AD392" s="306">
        <v>9935</v>
      </c>
      <c r="AE392" s="306" t="s">
        <v>273</v>
      </c>
      <c r="AF392" s="305">
        <v>9644</v>
      </c>
      <c r="AG392" s="294">
        <v>9585</v>
      </c>
      <c r="AH392" s="294">
        <v>9630</v>
      </c>
      <c r="AI392" s="294">
        <v>9167</v>
      </c>
      <c r="AJ392" s="294">
        <v>8532</v>
      </c>
      <c r="AK392" s="294">
        <v>8318</v>
      </c>
      <c r="AL392" s="294">
        <v>8150</v>
      </c>
      <c r="AM392" s="294">
        <v>8075</v>
      </c>
    </row>
    <row r="393" spans="1:39" x14ac:dyDescent="0.2">
      <c r="A393" s="294" t="s">
        <v>263</v>
      </c>
      <c r="C393" s="294" t="s">
        <v>271</v>
      </c>
      <c r="D393" s="294" t="s">
        <v>296</v>
      </c>
      <c r="E393" s="304">
        <v>4470</v>
      </c>
      <c r="F393" s="300">
        <v>4380</v>
      </c>
      <c r="G393" s="300">
        <v>4246</v>
      </c>
      <c r="H393" s="303">
        <v>4308</v>
      </c>
      <c r="I393" s="303">
        <v>4455</v>
      </c>
      <c r="J393" s="303">
        <v>4408</v>
      </c>
      <c r="K393" s="303">
        <v>3997</v>
      </c>
      <c r="L393" s="303">
        <v>3556</v>
      </c>
      <c r="M393" s="303">
        <v>3128</v>
      </c>
      <c r="N393" s="303">
        <v>2960</v>
      </c>
      <c r="O393" s="303">
        <v>2897</v>
      </c>
      <c r="P393" s="303"/>
      <c r="Q393" s="303"/>
      <c r="R393" s="303"/>
      <c r="S393" s="303"/>
      <c r="T393" s="303"/>
      <c r="U393" s="303"/>
      <c r="V393" s="303"/>
      <c r="W393" s="303"/>
      <c r="X393" s="303"/>
      <c r="Y393" s="303"/>
      <c r="Z393" s="303"/>
      <c r="AA393" s="303"/>
      <c r="AB393" s="303"/>
      <c r="AC393" s="304">
        <v>9901</v>
      </c>
      <c r="AD393" s="300">
        <v>9798</v>
      </c>
      <c r="AE393" s="300">
        <v>9656</v>
      </c>
      <c r="AF393" s="305">
        <v>9711</v>
      </c>
      <c r="AG393" s="294">
        <v>9690</v>
      </c>
      <c r="AH393" s="294">
        <v>9643</v>
      </c>
      <c r="AI393" s="294">
        <v>9232</v>
      </c>
      <c r="AJ393" s="294">
        <v>8801</v>
      </c>
      <c r="AK393" s="294">
        <v>8348</v>
      </c>
      <c r="AL393" s="294">
        <v>8174</v>
      </c>
      <c r="AM393" s="294">
        <v>8105</v>
      </c>
    </row>
    <row r="394" spans="1:39" x14ac:dyDescent="0.2">
      <c r="A394" s="294" t="s">
        <v>263</v>
      </c>
      <c r="C394" s="294" t="s">
        <v>271</v>
      </c>
      <c r="D394" s="294" t="s">
        <v>295</v>
      </c>
      <c r="E394" s="304">
        <v>4272</v>
      </c>
      <c r="F394" s="300">
        <v>4327</v>
      </c>
      <c r="G394" s="300">
        <v>4107</v>
      </c>
      <c r="H394" s="303">
        <v>4101</v>
      </c>
      <c r="I394" s="303">
        <v>4367</v>
      </c>
      <c r="J394" s="303">
        <v>4229</v>
      </c>
      <c r="K394" s="303">
        <v>3771</v>
      </c>
      <c r="L394" s="303">
        <v>3240</v>
      </c>
      <c r="M394" s="303">
        <v>3030</v>
      </c>
      <c r="N394" s="303">
        <v>2835</v>
      </c>
      <c r="O394" s="303">
        <v>2781</v>
      </c>
      <c r="P394" s="303"/>
      <c r="Q394" s="303"/>
      <c r="R394" s="303"/>
      <c r="S394" s="303"/>
      <c r="T394" s="303"/>
      <c r="U394" s="303"/>
      <c r="V394" s="303"/>
      <c r="W394" s="303"/>
      <c r="X394" s="303"/>
      <c r="Y394" s="303"/>
      <c r="Z394" s="303"/>
      <c r="AA394" s="303"/>
      <c r="AB394" s="303"/>
      <c r="AC394" s="304">
        <v>9703</v>
      </c>
      <c r="AD394" s="300">
        <v>9745</v>
      </c>
      <c r="AE394" s="300">
        <v>9516</v>
      </c>
      <c r="AF394" s="305">
        <v>9504</v>
      </c>
      <c r="AG394" s="294">
        <v>9602</v>
      </c>
      <c r="AH394" s="294">
        <v>9464</v>
      </c>
      <c r="AI394" s="294">
        <v>9006</v>
      </c>
      <c r="AJ394" s="294">
        <v>8475</v>
      </c>
      <c r="AK394" s="294">
        <v>8250</v>
      </c>
      <c r="AL394" s="294">
        <v>8049</v>
      </c>
      <c r="AM394" s="294">
        <v>7989</v>
      </c>
    </row>
    <row r="395" spans="1:39" x14ac:dyDescent="0.2">
      <c r="A395" s="294" t="s">
        <v>263</v>
      </c>
      <c r="C395" s="294" t="s">
        <v>271</v>
      </c>
      <c r="D395" s="294" t="s">
        <v>294</v>
      </c>
      <c r="E395" s="304">
        <v>4667</v>
      </c>
      <c r="F395" s="300">
        <v>4620</v>
      </c>
      <c r="G395" s="300">
        <v>4267</v>
      </c>
      <c r="H395" s="303">
        <v>4041</v>
      </c>
      <c r="I395" s="303">
        <v>4416</v>
      </c>
      <c r="J395" s="303">
        <v>4381</v>
      </c>
      <c r="K395" s="303">
        <v>3930</v>
      </c>
      <c r="L395" s="303">
        <v>3295</v>
      </c>
      <c r="M395" s="303">
        <v>3075</v>
      </c>
      <c r="N395" s="303">
        <v>2907</v>
      </c>
      <c r="O395" s="303">
        <v>2853</v>
      </c>
      <c r="P395" s="303"/>
      <c r="Q395" s="303"/>
      <c r="R395" s="303"/>
      <c r="S395" s="303"/>
      <c r="T395" s="303"/>
      <c r="U395" s="303"/>
      <c r="V395" s="303"/>
      <c r="W395" s="303"/>
      <c r="X395" s="303"/>
      <c r="Y395" s="303"/>
      <c r="Z395" s="303"/>
      <c r="AA395" s="303"/>
      <c r="AB395" s="303"/>
      <c r="AC395" s="304">
        <v>10098</v>
      </c>
      <c r="AD395" s="300">
        <v>10038</v>
      </c>
      <c r="AE395" s="300">
        <v>9676</v>
      </c>
      <c r="AF395" s="305">
        <v>9444</v>
      </c>
      <c r="AG395" s="294">
        <v>9651</v>
      </c>
      <c r="AH395" s="294">
        <v>9616</v>
      </c>
      <c r="AI395" s="294">
        <v>9165</v>
      </c>
      <c r="AJ395" s="294">
        <v>8530</v>
      </c>
      <c r="AK395" s="294">
        <v>8295</v>
      </c>
      <c r="AL395" s="294">
        <v>8121</v>
      </c>
      <c r="AM395" s="294">
        <v>8061</v>
      </c>
    </row>
    <row r="396" spans="1:39" x14ac:dyDescent="0.2">
      <c r="A396" s="294" t="s">
        <v>263</v>
      </c>
      <c r="C396" s="294" t="s">
        <v>271</v>
      </c>
      <c r="D396" s="294" t="s">
        <v>293</v>
      </c>
      <c r="E396" s="304">
        <v>4565</v>
      </c>
      <c r="F396" s="300">
        <v>4475</v>
      </c>
      <c r="G396" s="300">
        <v>4347</v>
      </c>
      <c r="H396" s="303">
        <v>4341</v>
      </c>
      <c r="I396" s="303">
        <v>4495</v>
      </c>
      <c r="J396" s="303">
        <v>4443</v>
      </c>
      <c r="K396" s="303">
        <v>3970</v>
      </c>
      <c r="L396" s="303">
        <v>3548</v>
      </c>
      <c r="M396" s="303">
        <v>3323</v>
      </c>
      <c r="N396" s="303">
        <v>3113</v>
      </c>
      <c r="O396" s="303">
        <v>3044</v>
      </c>
      <c r="P396" s="303"/>
      <c r="Q396" s="303"/>
      <c r="R396" s="303"/>
      <c r="S396" s="303"/>
      <c r="T396" s="303"/>
      <c r="U396" s="303"/>
      <c r="V396" s="303"/>
      <c r="W396" s="303"/>
      <c r="X396" s="303"/>
      <c r="Y396" s="303"/>
      <c r="Z396" s="303"/>
      <c r="AA396" s="303"/>
      <c r="AB396" s="303"/>
      <c r="AC396" s="304">
        <v>9996</v>
      </c>
      <c r="AD396" s="300">
        <v>9893</v>
      </c>
      <c r="AE396" s="300">
        <v>9756</v>
      </c>
      <c r="AF396" s="305">
        <v>9744</v>
      </c>
      <c r="AG396" s="294">
        <v>9730</v>
      </c>
      <c r="AH396" s="294">
        <v>9678</v>
      </c>
      <c r="AI396" s="294">
        <v>9205</v>
      </c>
      <c r="AJ396" s="294">
        <v>8783</v>
      </c>
      <c r="AK396" s="294">
        <v>8543</v>
      </c>
      <c r="AL396" s="294">
        <v>8327</v>
      </c>
      <c r="AM396" s="294">
        <v>8252</v>
      </c>
    </row>
    <row r="397" spans="1:39" x14ac:dyDescent="0.2">
      <c r="A397" s="294" t="s">
        <v>263</v>
      </c>
      <c r="C397" s="294" t="s">
        <v>271</v>
      </c>
      <c r="D397" s="294" t="s">
        <v>292</v>
      </c>
      <c r="E397" s="304">
        <v>4215</v>
      </c>
      <c r="F397" s="300">
        <v>3936</v>
      </c>
      <c r="G397" s="300">
        <v>3927</v>
      </c>
      <c r="H397" s="303">
        <v>4034</v>
      </c>
      <c r="I397" s="303">
        <v>4000</v>
      </c>
      <c r="J397" s="303">
        <v>4075</v>
      </c>
      <c r="K397" s="303">
        <v>3617</v>
      </c>
      <c r="L397" s="303">
        <v>3210</v>
      </c>
      <c r="M397" s="303">
        <v>3000</v>
      </c>
      <c r="N397" s="303">
        <v>2805</v>
      </c>
      <c r="O397" s="303">
        <v>2751</v>
      </c>
      <c r="P397" s="303"/>
      <c r="Q397" s="303"/>
      <c r="R397" s="303"/>
      <c r="S397" s="303"/>
      <c r="T397" s="303"/>
      <c r="U397" s="303"/>
      <c r="V397" s="303"/>
      <c r="W397" s="303"/>
      <c r="X397" s="303"/>
      <c r="Y397" s="303"/>
      <c r="Z397" s="303"/>
      <c r="AA397" s="303"/>
      <c r="AB397" s="303"/>
      <c r="AC397" s="304">
        <v>9646</v>
      </c>
      <c r="AD397" s="300">
        <v>9354</v>
      </c>
      <c r="AE397" s="300">
        <v>9336</v>
      </c>
      <c r="AF397" s="305">
        <v>9437</v>
      </c>
      <c r="AG397" s="294">
        <v>9325</v>
      </c>
      <c r="AH397" s="294">
        <v>9310</v>
      </c>
      <c r="AI397" s="294">
        <v>8852</v>
      </c>
      <c r="AJ397" s="294">
        <v>8445</v>
      </c>
      <c r="AK397" s="294">
        <v>8220</v>
      </c>
      <c r="AL397" s="294">
        <v>8019</v>
      </c>
      <c r="AM397" s="294">
        <v>7959</v>
      </c>
    </row>
    <row r="398" spans="1:39" x14ac:dyDescent="0.2">
      <c r="A398" s="294" t="s">
        <v>263</v>
      </c>
      <c r="C398" s="294" t="s">
        <v>271</v>
      </c>
      <c r="D398" s="294" t="s">
        <v>291</v>
      </c>
      <c r="E398" s="304">
        <v>4878</v>
      </c>
      <c r="F398" s="300">
        <v>4739</v>
      </c>
      <c r="G398" s="300">
        <v>4654</v>
      </c>
      <c r="H398" s="303">
        <v>4461</v>
      </c>
      <c r="I398" s="303">
        <v>4480</v>
      </c>
      <c r="J398" s="303">
        <v>4435</v>
      </c>
      <c r="K398" s="303">
        <v>3929</v>
      </c>
      <c r="L398" s="303">
        <v>3495</v>
      </c>
      <c r="M398" s="303">
        <v>3231</v>
      </c>
      <c r="N398" s="303">
        <v>2300</v>
      </c>
      <c r="O398" s="303">
        <v>2223</v>
      </c>
      <c r="P398" s="303"/>
      <c r="Q398" s="303"/>
      <c r="R398" s="303"/>
      <c r="S398" s="303"/>
      <c r="T398" s="303"/>
      <c r="U398" s="303"/>
      <c r="V398" s="303"/>
      <c r="W398" s="303"/>
      <c r="X398" s="303"/>
      <c r="Y398" s="303"/>
      <c r="Z398" s="303"/>
      <c r="AA398" s="303"/>
      <c r="AB398" s="303"/>
      <c r="AC398" s="304">
        <v>10309</v>
      </c>
      <c r="AD398" s="300">
        <v>10157</v>
      </c>
      <c r="AE398" s="300">
        <v>10063</v>
      </c>
      <c r="AF398" s="305">
        <v>9864</v>
      </c>
      <c r="AG398" s="294">
        <v>9715</v>
      </c>
      <c r="AH398" s="294">
        <v>9670</v>
      </c>
      <c r="AI398" s="294">
        <v>9164</v>
      </c>
      <c r="AJ398" s="294">
        <v>8730</v>
      </c>
      <c r="AK398" s="294">
        <v>8451</v>
      </c>
      <c r="AL398" s="294">
        <v>6008</v>
      </c>
    </row>
    <row r="399" spans="1:39" x14ac:dyDescent="0.2">
      <c r="A399" s="294" t="s">
        <v>263</v>
      </c>
      <c r="C399" s="294" t="s">
        <v>271</v>
      </c>
      <c r="D399" s="294" t="s">
        <v>290</v>
      </c>
      <c r="E399" s="304">
        <v>4386</v>
      </c>
      <c r="F399" s="300">
        <v>4319</v>
      </c>
      <c r="G399" s="300">
        <v>4227</v>
      </c>
      <c r="H399" s="303">
        <v>4212</v>
      </c>
      <c r="I399" s="303">
        <v>4279</v>
      </c>
      <c r="J399" s="303">
        <v>4410</v>
      </c>
      <c r="K399" s="303">
        <v>3790</v>
      </c>
      <c r="L399" s="303">
        <v>3405</v>
      </c>
      <c r="M399" s="303">
        <v>3177</v>
      </c>
      <c r="N399" s="303">
        <v>2937</v>
      </c>
      <c r="O399" s="303">
        <v>2874</v>
      </c>
      <c r="P399" s="303"/>
      <c r="Q399" s="303"/>
      <c r="R399" s="303"/>
      <c r="S399" s="303"/>
      <c r="T399" s="303"/>
      <c r="U399" s="303"/>
      <c r="V399" s="303"/>
      <c r="W399" s="303"/>
      <c r="X399" s="303"/>
      <c r="Y399" s="303"/>
      <c r="Z399" s="303"/>
      <c r="AA399" s="303"/>
      <c r="AB399" s="303"/>
      <c r="AC399" s="304">
        <v>9817</v>
      </c>
      <c r="AD399" s="300">
        <v>9737</v>
      </c>
      <c r="AE399" s="300">
        <v>9636</v>
      </c>
      <c r="AF399" s="305">
        <v>9615</v>
      </c>
      <c r="AG399" s="294">
        <v>9514</v>
      </c>
      <c r="AH399" s="294">
        <v>9645</v>
      </c>
      <c r="AI399" s="294">
        <v>8968</v>
      </c>
      <c r="AJ399" s="294">
        <v>8640</v>
      </c>
      <c r="AK399" s="294">
        <v>8397</v>
      </c>
      <c r="AL399" s="294">
        <v>8151</v>
      </c>
      <c r="AM399" s="294">
        <v>8082</v>
      </c>
    </row>
    <row r="400" spans="1:39" x14ac:dyDescent="0.2">
      <c r="A400" s="294" t="s">
        <v>263</v>
      </c>
      <c r="C400" s="294" t="s">
        <v>271</v>
      </c>
      <c r="D400" s="294" t="s">
        <v>289</v>
      </c>
      <c r="E400" s="304">
        <v>4207</v>
      </c>
      <c r="F400" s="300">
        <v>3990</v>
      </c>
      <c r="G400" s="300">
        <v>4040</v>
      </c>
      <c r="H400" s="303">
        <v>4019</v>
      </c>
      <c r="I400" s="303">
        <v>4276</v>
      </c>
      <c r="J400" s="303">
        <v>4173</v>
      </c>
      <c r="K400" s="303">
        <v>3676</v>
      </c>
      <c r="L400" s="303">
        <v>3285</v>
      </c>
      <c r="M400" s="303">
        <v>3045</v>
      </c>
      <c r="N400" s="303">
        <v>2880</v>
      </c>
      <c r="O400" s="303">
        <v>2842</v>
      </c>
      <c r="P400" s="303"/>
      <c r="Q400" s="303"/>
      <c r="R400" s="303"/>
      <c r="S400" s="303"/>
      <c r="T400" s="303"/>
      <c r="U400" s="303"/>
      <c r="V400" s="303"/>
      <c r="W400" s="303"/>
      <c r="X400" s="303"/>
      <c r="Y400" s="303"/>
      <c r="Z400" s="303"/>
      <c r="AA400" s="303"/>
      <c r="AB400" s="303"/>
      <c r="AC400" s="304">
        <v>9638</v>
      </c>
      <c r="AD400" s="300">
        <v>9408</v>
      </c>
      <c r="AE400" s="300">
        <v>9449</v>
      </c>
      <c r="AF400" s="305">
        <v>9422</v>
      </c>
      <c r="AG400" s="294">
        <v>9511</v>
      </c>
      <c r="AH400" s="294">
        <v>9408</v>
      </c>
      <c r="AI400" s="294">
        <v>8911</v>
      </c>
      <c r="AJ400" s="294">
        <v>8520</v>
      </c>
      <c r="AK400" s="294">
        <v>8265</v>
      </c>
      <c r="AL400" s="294">
        <v>8094</v>
      </c>
      <c r="AM400" s="294">
        <v>8050</v>
      </c>
    </row>
    <row r="401" spans="1:39" x14ac:dyDescent="0.2">
      <c r="A401" s="294" t="s">
        <v>263</v>
      </c>
      <c r="C401" s="294" t="s">
        <v>271</v>
      </c>
      <c r="D401" s="294" t="s">
        <v>288</v>
      </c>
      <c r="E401" s="304">
        <v>4252</v>
      </c>
      <c r="F401" s="300">
        <v>4161</v>
      </c>
      <c r="G401" s="300">
        <v>3957</v>
      </c>
      <c r="H401" s="303">
        <v>4521</v>
      </c>
      <c r="I401" s="303">
        <v>4195</v>
      </c>
      <c r="J401" s="303">
        <v>4195</v>
      </c>
      <c r="K401" s="303">
        <v>3737</v>
      </c>
      <c r="L401" s="303">
        <v>3330</v>
      </c>
      <c r="M401" s="303">
        <v>3510</v>
      </c>
      <c r="N401" s="303">
        <v>2925</v>
      </c>
      <c r="O401" s="303">
        <v>2871</v>
      </c>
      <c r="P401" s="303"/>
      <c r="Q401" s="303"/>
      <c r="R401" s="303"/>
      <c r="S401" s="303"/>
      <c r="T401" s="303"/>
      <c r="U401" s="303"/>
      <c r="V401" s="303"/>
      <c r="W401" s="303"/>
      <c r="X401" s="303"/>
      <c r="Y401" s="303"/>
      <c r="Z401" s="303"/>
      <c r="AA401" s="303"/>
      <c r="AB401" s="303"/>
      <c r="AC401" s="304">
        <v>9683</v>
      </c>
      <c r="AD401" s="300">
        <v>9579</v>
      </c>
      <c r="AE401" s="300">
        <v>9366</v>
      </c>
      <c r="AF401" s="305">
        <v>9924</v>
      </c>
      <c r="AG401" s="294">
        <v>9430</v>
      </c>
      <c r="AH401" s="294">
        <v>9430</v>
      </c>
      <c r="AI401" s="294">
        <v>8972</v>
      </c>
      <c r="AJ401" s="294">
        <v>8565</v>
      </c>
      <c r="AK401" s="294">
        <v>8730</v>
      </c>
      <c r="AL401" s="294">
        <v>8139</v>
      </c>
      <c r="AM401" s="294">
        <v>8079</v>
      </c>
    </row>
    <row r="402" spans="1:39" x14ac:dyDescent="0.2">
      <c r="A402" s="294" t="s">
        <v>263</v>
      </c>
      <c r="C402" s="294" t="s">
        <v>271</v>
      </c>
      <c r="D402" s="294" t="s">
        <v>287</v>
      </c>
      <c r="E402" s="304">
        <v>4525</v>
      </c>
      <c r="F402" s="300">
        <v>4434</v>
      </c>
      <c r="G402" s="300">
        <v>4350</v>
      </c>
      <c r="H402" s="303">
        <v>4344</v>
      </c>
      <c r="I402" s="303">
        <v>4350</v>
      </c>
      <c r="J402" s="303">
        <v>4350</v>
      </c>
      <c r="K402" s="303">
        <v>3892</v>
      </c>
      <c r="L402" s="303">
        <v>3237</v>
      </c>
      <c r="M402" s="303">
        <v>3012</v>
      </c>
      <c r="N402" s="303">
        <v>2817</v>
      </c>
      <c r="O402" s="303">
        <v>2926</v>
      </c>
      <c r="P402" s="303"/>
      <c r="Q402" s="303"/>
      <c r="R402" s="303"/>
      <c r="S402" s="303"/>
      <c r="T402" s="303"/>
      <c r="U402" s="303"/>
      <c r="V402" s="303"/>
      <c r="W402" s="303"/>
      <c r="X402" s="303"/>
      <c r="Y402" s="303"/>
      <c r="Z402" s="303"/>
      <c r="AA402" s="303"/>
      <c r="AB402" s="303"/>
      <c r="AC402" s="304">
        <v>9956</v>
      </c>
      <c r="AD402" s="300">
        <v>9852</v>
      </c>
      <c r="AE402" s="300">
        <v>9759</v>
      </c>
      <c r="AF402" s="305">
        <v>9747</v>
      </c>
      <c r="AG402" s="294">
        <v>9585</v>
      </c>
      <c r="AH402" s="294">
        <v>9585</v>
      </c>
      <c r="AI402" s="294">
        <v>9127</v>
      </c>
      <c r="AJ402" s="294">
        <v>8472</v>
      </c>
      <c r="AK402" s="294">
        <v>8232</v>
      </c>
      <c r="AL402" s="294">
        <v>8031</v>
      </c>
      <c r="AM402" s="294">
        <v>8015</v>
      </c>
    </row>
    <row r="403" spans="1:39" x14ac:dyDescent="0.2">
      <c r="A403" s="294" t="s">
        <v>263</v>
      </c>
      <c r="C403" s="294" t="s">
        <v>271</v>
      </c>
      <c r="D403" s="294" t="s">
        <v>286</v>
      </c>
      <c r="E403" s="304">
        <v>4342</v>
      </c>
      <c r="F403" s="300">
        <v>4251</v>
      </c>
      <c r="G403" s="300">
        <v>4107</v>
      </c>
      <c r="H403" s="303">
        <v>4101</v>
      </c>
      <c r="I403" s="303">
        <v>4255</v>
      </c>
      <c r="J403" s="303">
        <v>4255</v>
      </c>
      <c r="K403" s="303">
        <v>3797</v>
      </c>
      <c r="L403" s="303">
        <v>3390</v>
      </c>
      <c r="M403" s="303">
        <v>3180</v>
      </c>
      <c r="N403" s="303">
        <v>2985</v>
      </c>
      <c r="O403" s="303">
        <v>2931</v>
      </c>
      <c r="P403" s="303"/>
      <c r="Q403" s="303"/>
      <c r="R403" s="303"/>
      <c r="S403" s="303"/>
      <c r="T403" s="303"/>
      <c r="U403" s="303"/>
      <c r="V403" s="303"/>
      <c r="W403" s="303"/>
      <c r="X403" s="303"/>
      <c r="Y403" s="303"/>
      <c r="Z403" s="303"/>
      <c r="AA403" s="303"/>
      <c r="AB403" s="303"/>
      <c r="AC403" s="304">
        <v>9773</v>
      </c>
      <c r="AD403" s="300">
        <v>9669</v>
      </c>
      <c r="AE403" s="300">
        <v>9516</v>
      </c>
      <c r="AF403" s="305">
        <v>9504</v>
      </c>
      <c r="AG403" s="294">
        <v>9490</v>
      </c>
      <c r="AH403" s="294">
        <v>9490</v>
      </c>
      <c r="AI403" s="294">
        <v>9032</v>
      </c>
      <c r="AJ403" s="294">
        <v>8625</v>
      </c>
      <c r="AK403" s="294">
        <v>8400</v>
      </c>
      <c r="AL403" s="294">
        <v>8199</v>
      </c>
      <c r="AM403" s="294">
        <v>8139</v>
      </c>
    </row>
    <row r="404" spans="1:39" x14ac:dyDescent="0.2">
      <c r="A404" s="294" t="s">
        <v>263</v>
      </c>
      <c r="C404" s="294" t="s">
        <v>271</v>
      </c>
      <c r="D404" s="294" t="s">
        <v>285</v>
      </c>
      <c r="E404" s="304">
        <v>4585</v>
      </c>
      <c r="F404" s="300">
        <v>4338</v>
      </c>
      <c r="G404" s="300">
        <v>4193</v>
      </c>
      <c r="H404" s="303">
        <v>4187</v>
      </c>
      <c r="I404" s="303">
        <v>4341</v>
      </c>
      <c r="J404" s="303">
        <v>4341</v>
      </c>
      <c r="K404" s="303">
        <v>3883</v>
      </c>
      <c r="L404" s="303">
        <v>3476</v>
      </c>
      <c r="M404" s="303">
        <v>3266</v>
      </c>
      <c r="N404" s="303">
        <v>3071</v>
      </c>
      <c r="O404" s="303">
        <v>3017</v>
      </c>
      <c r="P404" s="303"/>
      <c r="Q404" s="303"/>
      <c r="R404" s="303"/>
      <c r="S404" s="303"/>
      <c r="T404" s="303"/>
      <c r="U404" s="303"/>
      <c r="V404" s="303"/>
      <c r="W404" s="303"/>
      <c r="X404" s="303"/>
      <c r="Y404" s="303"/>
      <c r="Z404" s="303"/>
      <c r="AA404" s="303"/>
      <c r="AB404" s="303"/>
      <c r="AC404" s="304">
        <v>10016</v>
      </c>
      <c r="AD404" s="300">
        <v>9756</v>
      </c>
      <c r="AE404" s="300">
        <v>9602</v>
      </c>
      <c r="AF404" s="305">
        <v>9590</v>
      </c>
      <c r="AG404" s="294">
        <v>9576</v>
      </c>
      <c r="AH404" s="294">
        <v>9576</v>
      </c>
      <c r="AI404" s="294">
        <v>9118</v>
      </c>
      <c r="AJ404" s="294">
        <v>8711</v>
      </c>
      <c r="AK404" s="294">
        <v>8486</v>
      </c>
      <c r="AL404" s="294">
        <v>8285</v>
      </c>
      <c r="AM404" s="294">
        <v>8225</v>
      </c>
    </row>
    <row r="405" spans="1:39" x14ac:dyDescent="0.2">
      <c r="A405" s="294" t="s">
        <v>263</v>
      </c>
      <c r="C405" s="294" t="s">
        <v>271</v>
      </c>
      <c r="D405" s="294" t="s">
        <v>284</v>
      </c>
      <c r="E405" s="304">
        <v>4782</v>
      </c>
      <c r="F405" s="300">
        <v>4701</v>
      </c>
      <c r="G405" s="300">
        <v>4167</v>
      </c>
      <c r="H405" s="303">
        <v>4161</v>
      </c>
      <c r="I405" s="303">
        <v>4270</v>
      </c>
      <c r="J405" s="303">
        <v>4040</v>
      </c>
      <c r="K405" s="303">
        <v>4402</v>
      </c>
      <c r="L405" s="303">
        <v>3570</v>
      </c>
      <c r="M405" s="303">
        <v>3288</v>
      </c>
      <c r="N405" s="303">
        <v>3726</v>
      </c>
      <c r="O405" s="303">
        <v>3681</v>
      </c>
      <c r="P405" s="303"/>
      <c r="Q405" s="303"/>
      <c r="R405" s="303"/>
      <c r="S405" s="303"/>
      <c r="T405" s="303"/>
      <c r="U405" s="303"/>
      <c r="V405" s="303"/>
      <c r="W405" s="303"/>
      <c r="X405" s="303"/>
      <c r="Y405" s="303"/>
      <c r="Z405" s="303"/>
      <c r="AA405" s="303"/>
      <c r="AB405" s="303"/>
      <c r="AC405" s="304">
        <v>10213</v>
      </c>
      <c r="AD405" s="300">
        <v>10119</v>
      </c>
      <c r="AE405" s="300">
        <v>9576</v>
      </c>
      <c r="AF405" s="305">
        <v>9564</v>
      </c>
      <c r="AG405" s="294">
        <v>9505</v>
      </c>
      <c r="AH405" s="294">
        <v>9096</v>
      </c>
      <c r="AI405" s="294">
        <v>8411</v>
      </c>
      <c r="AJ405" s="294">
        <v>7099</v>
      </c>
      <c r="AK405" s="294">
        <v>6633</v>
      </c>
      <c r="AL405" s="294">
        <v>3726</v>
      </c>
    </row>
    <row r="406" spans="1:39" x14ac:dyDescent="0.2">
      <c r="A406" s="294" t="s">
        <v>263</v>
      </c>
      <c r="C406" s="294" t="s">
        <v>271</v>
      </c>
      <c r="D406" s="294" t="s">
        <v>283</v>
      </c>
      <c r="E406" s="304">
        <v>4207</v>
      </c>
      <c r="F406" s="300">
        <v>3990</v>
      </c>
      <c r="G406" s="300">
        <v>4370</v>
      </c>
      <c r="H406" s="303">
        <v>3712</v>
      </c>
      <c r="I406" s="303">
        <v>4276</v>
      </c>
      <c r="J406" s="303">
        <v>4249</v>
      </c>
      <c r="K406" s="303">
        <v>3773</v>
      </c>
      <c r="L406" s="303">
        <v>3363</v>
      </c>
      <c r="M406" s="303">
        <v>3090</v>
      </c>
      <c r="N406" s="303">
        <v>2955</v>
      </c>
      <c r="O406" s="303">
        <v>2842</v>
      </c>
      <c r="P406" s="303"/>
      <c r="Q406" s="303"/>
      <c r="R406" s="303"/>
      <c r="S406" s="303"/>
      <c r="T406" s="303"/>
      <c r="U406" s="303"/>
      <c r="V406" s="303"/>
      <c r="W406" s="303"/>
      <c r="X406" s="303"/>
      <c r="Y406" s="303"/>
      <c r="Z406" s="303"/>
      <c r="AA406" s="303"/>
      <c r="AB406" s="303"/>
      <c r="AC406" s="304">
        <v>9638</v>
      </c>
      <c r="AD406" s="300">
        <v>9408</v>
      </c>
      <c r="AE406" s="300">
        <v>9779</v>
      </c>
      <c r="AF406" s="305">
        <v>9115</v>
      </c>
      <c r="AG406" s="294">
        <v>9511</v>
      </c>
      <c r="AH406" s="294">
        <v>9484</v>
      </c>
      <c r="AI406" s="294">
        <v>9008</v>
      </c>
      <c r="AJ406" s="294">
        <v>8598</v>
      </c>
      <c r="AK406" s="294">
        <v>8310</v>
      </c>
      <c r="AL406" s="294">
        <v>8169</v>
      </c>
      <c r="AM406" s="294">
        <v>8050</v>
      </c>
    </row>
    <row r="407" spans="1:39" x14ac:dyDescent="0.2">
      <c r="A407" s="294" t="s">
        <v>263</v>
      </c>
      <c r="C407" s="294" t="s">
        <v>271</v>
      </c>
      <c r="D407" s="294" t="s">
        <v>282</v>
      </c>
      <c r="E407" s="304">
        <v>4269</v>
      </c>
      <c r="F407" s="300">
        <v>4243</v>
      </c>
      <c r="G407" s="300">
        <v>4152</v>
      </c>
      <c r="H407" s="303">
        <v>4208</v>
      </c>
      <c r="I407" s="303">
        <v>4258</v>
      </c>
      <c r="J407" s="303">
        <v>4410</v>
      </c>
      <c r="K407" s="303">
        <v>3999</v>
      </c>
      <c r="L407" s="303">
        <v>3393</v>
      </c>
      <c r="M407" s="303">
        <v>3151</v>
      </c>
      <c r="N407" s="303">
        <v>2881</v>
      </c>
      <c r="O407" s="303">
        <v>2833</v>
      </c>
      <c r="P407" s="303"/>
      <c r="Q407" s="303"/>
      <c r="R407" s="303"/>
      <c r="S407" s="303"/>
      <c r="T407" s="303"/>
      <c r="U407" s="303"/>
      <c r="V407" s="303"/>
      <c r="W407" s="303"/>
      <c r="X407" s="303"/>
      <c r="Y407" s="303"/>
      <c r="Z407" s="303"/>
      <c r="AA407" s="303"/>
      <c r="AB407" s="303"/>
      <c r="AC407" s="304">
        <v>9700</v>
      </c>
      <c r="AD407" s="300">
        <v>9661</v>
      </c>
      <c r="AE407" s="300">
        <v>9561</v>
      </c>
      <c r="AF407" s="305">
        <v>9611</v>
      </c>
      <c r="AG407" s="294">
        <v>9493</v>
      </c>
      <c r="AH407" s="294">
        <v>9645</v>
      </c>
      <c r="AI407" s="294">
        <v>9234</v>
      </c>
      <c r="AJ407" s="294">
        <v>8628</v>
      </c>
      <c r="AK407" s="294">
        <v>8371</v>
      </c>
      <c r="AL407" s="294">
        <v>8095</v>
      </c>
      <c r="AM407" s="294">
        <v>8041</v>
      </c>
    </row>
    <row r="408" spans="1:39" x14ac:dyDescent="0.2">
      <c r="A408" s="294" t="s">
        <v>263</v>
      </c>
      <c r="C408" s="294" t="s">
        <v>271</v>
      </c>
      <c r="D408" s="294" t="s">
        <v>281</v>
      </c>
      <c r="E408" s="304">
        <v>4820</v>
      </c>
      <c r="F408" s="300">
        <v>4675</v>
      </c>
      <c r="G408" s="300">
        <v>4464</v>
      </c>
      <c r="H408" s="303">
        <v>4448</v>
      </c>
      <c r="I408" s="303">
        <v>4208</v>
      </c>
      <c r="J408" s="303">
        <v>4208</v>
      </c>
      <c r="K408" s="303">
        <v>3797</v>
      </c>
      <c r="L408" s="303">
        <v>3345</v>
      </c>
      <c r="M408" s="303">
        <v>3077</v>
      </c>
      <c r="N408" s="303">
        <v>2906</v>
      </c>
      <c r="O408" s="303">
        <v>2801</v>
      </c>
      <c r="P408" s="303"/>
      <c r="Q408" s="303"/>
      <c r="R408" s="303"/>
      <c r="S408" s="303"/>
      <c r="T408" s="303"/>
      <c r="U408" s="303"/>
      <c r="V408" s="303"/>
      <c r="W408" s="303"/>
      <c r="X408" s="303"/>
      <c r="Y408" s="303"/>
      <c r="Z408" s="303"/>
      <c r="AA408" s="303"/>
      <c r="AB408" s="303"/>
      <c r="AC408" s="304">
        <v>10251</v>
      </c>
      <c r="AD408" s="300">
        <v>10093</v>
      </c>
      <c r="AE408" s="300">
        <v>9874</v>
      </c>
      <c r="AF408" s="305">
        <v>9851</v>
      </c>
      <c r="AG408" s="294">
        <v>9443</v>
      </c>
      <c r="AH408" s="294">
        <v>9443</v>
      </c>
      <c r="AI408" s="294">
        <v>9032</v>
      </c>
      <c r="AJ408" s="294">
        <v>8580</v>
      </c>
      <c r="AK408" s="294">
        <v>8297</v>
      </c>
      <c r="AL408" s="294">
        <v>8120</v>
      </c>
      <c r="AM408" s="294">
        <v>8009</v>
      </c>
    </row>
    <row r="409" spans="1:39" x14ac:dyDescent="0.2">
      <c r="A409" s="294" t="s">
        <v>263</v>
      </c>
      <c r="C409" s="294" t="s">
        <v>271</v>
      </c>
      <c r="D409" s="294" t="s">
        <v>280</v>
      </c>
      <c r="E409" s="304">
        <v>4492</v>
      </c>
      <c r="F409" s="300">
        <v>4401</v>
      </c>
      <c r="G409" s="300">
        <v>4104</v>
      </c>
      <c r="H409" s="303">
        <v>4068</v>
      </c>
      <c r="I409" s="303">
        <v>4207</v>
      </c>
      <c r="J409" s="303">
        <v>4047</v>
      </c>
      <c r="K409" s="303">
        <v>3585</v>
      </c>
      <c r="L409" s="303">
        <v>3215</v>
      </c>
      <c r="M409" s="303">
        <v>3010</v>
      </c>
      <c r="N409" s="303">
        <v>2824</v>
      </c>
      <c r="O409" s="303">
        <v>2774</v>
      </c>
      <c r="P409" s="303"/>
      <c r="Q409" s="303"/>
      <c r="R409" s="303"/>
      <c r="S409" s="303"/>
      <c r="T409" s="303"/>
      <c r="U409" s="303"/>
      <c r="V409" s="303"/>
      <c r="W409" s="303"/>
      <c r="X409" s="303"/>
      <c r="Y409" s="303"/>
      <c r="Z409" s="303"/>
      <c r="AA409" s="303"/>
      <c r="AB409" s="303"/>
      <c r="AC409" s="304">
        <v>9923</v>
      </c>
      <c r="AD409" s="300">
        <v>9819</v>
      </c>
      <c r="AE409" s="300">
        <v>9513</v>
      </c>
      <c r="AF409" s="305">
        <v>9471</v>
      </c>
      <c r="AG409" s="294">
        <v>9442</v>
      </c>
      <c r="AH409" s="294">
        <v>9282</v>
      </c>
      <c r="AI409" s="294">
        <v>8820</v>
      </c>
      <c r="AJ409" s="294">
        <v>8450</v>
      </c>
      <c r="AK409" s="294">
        <v>8230</v>
      </c>
      <c r="AL409" s="294">
        <v>8038</v>
      </c>
      <c r="AM409" s="294">
        <v>7982</v>
      </c>
    </row>
    <row r="410" spans="1:39" x14ac:dyDescent="0.2">
      <c r="A410" s="294" t="s">
        <v>263</v>
      </c>
      <c r="C410" s="294" t="s">
        <v>271</v>
      </c>
      <c r="D410" s="294" t="s">
        <v>279</v>
      </c>
      <c r="E410" s="304">
        <v>4207</v>
      </c>
      <c r="F410" s="300">
        <v>3990</v>
      </c>
      <c r="G410" s="300">
        <v>4257</v>
      </c>
      <c r="H410" s="303">
        <v>3846</v>
      </c>
      <c r="I410" s="303">
        <v>4276</v>
      </c>
      <c r="J410" s="303">
        <v>4165</v>
      </c>
      <c r="K410" s="303">
        <v>3707</v>
      </c>
      <c r="L410" s="303">
        <v>3255</v>
      </c>
      <c r="M410" s="303">
        <v>3045</v>
      </c>
      <c r="N410" s="303">
        <v>2850</v>
      </c>
      <c r="O410" s="303">
        <v>2842</v>
      </c>
      <c r="P410" s="303"/>
      <c r="Q410" s="303"/>
      <c r="R410" s="303"/>
      <c r="S410" s="303"/>
      <c r="T410" s="303"/>
      <c r="U410" s="303"/>
      <c r="V410" s="303"/>
      <c r="W410" s="303"/>
      <c r="X410" s="303"/>
      <c r="Y410" s="303"/>
      <c r="Z410" s="303"/>
      <c r="AA410" s="303"/>
      <c r="AB410" s="303"/>
      <c r="AC410" s="304">
        <v>9638</v>
      </c>
      <c r="AD410" s="300">
        <v>9408</v>
      </c>
      <c r="AE410" s="300">
        <v>9666</v>
      </c>
      <c r="AF410" s="305">
        <v>9304</v>
      </c>
      <c r="AG410" s="294">
        <v>9511</v>
      </c>
      <c r="AH410" s="294">
        <v>9400</v>
      </c>
      <c r="AI410" s="294">
        <v>8942</v>
      </c>
      <c r="AJ410" s="294">
        <v>8490</v>
      </c>
      <c r="AK410" s="294">
        <v>8265</v>
      </c>
      <c r="AL410" s="294">
        <v>8064</v>
      </c>
      <c r="AM410" s="294">
        <v>8050</v>
      </c>
    </row>
    <row r="411" spans="1:39" x14ac:dyDescent="0.2">
      <c r="A411" s="294" t="s">
        <v>263</v>
      </c>
      <c r="C411" s="294" t="s">
        <v>271</v>
      </c>
      <c r="D411" s="294" t="s">
        <v>278</v>
      </c>
      <c r="E411" s="304">
        <v>4399</v>
      </c>
      <c r="F411" s="300">
        <v>4293</v>
      </c>
      <c r="G411" s="300">
        <v>5052</v>
      </c>
      <c r="H411" s="303">
        <v>4146</v>
      </c>
      <c r="I411" s="303">
        <v>4215</v>
      </c>
      <c r="J411" s="303">
        <v>4191</v>
      </c>
      <c r="K411" s="303">
        <v>3765</v>
      </c>
      <c r="L411" s="303">
        <v>3306</v>
      </c>
      <c r="M411" s="303">
        <v>3082</v>
      </c>
      <c r="N411" s="303">
        <v>2903</v>
      </c>
      <c r="O411" s="303">
        <v>2849</v>
      </c>
      <c r="P411" s="303"/>
      <c r="Q411" s="303"/>
      <c r="R411" s="303"/>
      <c r="S411" s="303"/>
      <c r="T411" s="303"/>
      <c r="U411" s="303"/>
      <c r="V411" s="303"/>
      <c r="W411" s="303"/>
      <c r="X411" s="303"/>
      <c r="Y411" s="303"/>
      <c r="Z411" s="303"/>
      <c r="AA411" s="303"/>
      <c r="AB411" s="303"/>
      <c r="AC411" s="304">
        <v>9830</v>
      </c>
      <c r="AD411" s="300">
        <v>9711</v>
      </c>
      <c r="AE411" s="300">
        <v>10461</v>
      </c>
      <c r="AF411" s="305">
        <v>9549</v>
      </c>
      <c r="AG411" s="294">
        <v>9450</v>
      </c>
      <c r="AH411" s="294">
        <v>9426</v>
      </c>
      <c r="AI411" s="294">
        <v>9000</v>
      </c>
      <c r="AJ411" s="294">
        <v>8541</v>
      </c>
      <c r="AK411" s="294">
        <v>8302</v>
      </c>
      <c r="AL411" s="294">
        <v>8117</v>
      </c>
      <c r="AM411" s="294">
        <v>8057</v>
      </c>
    </row>
    <row r="412" spans="1:39" x14ac:dyDescent="0.2">
      <c r="A412" s="294" t="s">
        <v>263</v>
      </c>
      <c r="C412" s="294" t="s">
        <v>271</v>
      </c>
      <c r="D412" s="294" t="s">
        <v>277</v>
      </c>
      <c r="E412" s="304">
        <v>4782</v>
      </c>
      <c r="F412" s="300">
        <v>4683</v>
      </c>
      <c r="G412" s="300">
        <v>5052</v>
      </c>
      <c r="H412" s="303">
        <v>4535</v>
      </c>
      <c r="I412" s="303">
        <v>4095</v>
      </c>
      <c r="J412" s="303">
        <v>4071</v>
      </c>
      <c r="K412" s="303">
        <v>3645</v>
      </c>
      <c r="L412" s="303">
        <v>3246</v>
      </c>
      <c r="M412" s="303">
        <v>3040</v>
      </c>
      <c r="N412" s="303">
        <v>2861</v>
      </c>
      <c r="O412" s="303">
        <v>2849</v>
      </c>
      <c r="P412" s="303"/>
      <c r="Q412" s="303"/>
      <c r="R412" s="303"/>
      <c r="S412" s="303"/>
      <c r="T412" s="303"/>
      <c r="U412" s="303"/>
      <c r="V412" s="303"/>
      <c r="W412" s="303"/>
      <c r="X412" s="303"/>
      <c r="Y412" s="303"/>
      <c r="Z412" s="303"/>
      <c r="AA412" s="303"/>
      <c r="AB412" s="303"/>
      <c r="AC412" s="304">
        <v>10213</v>
      </c>
      <c r="AD412" s="300">
        <v>10101</v>
      </c>
      <c r="AE412" s="300">
        <v>10461</v>
      </c>
      <c r="AF412" s="305">
        <v>9938</v>
      </c>
      <c r="AG412" s="294">
        <v>9330</v>
      </c>
      <c r="AH412" s="294">
        <v>9306</v>
      </c>
      <c r="AI412" s="294">
        <v>8880</v>
      </c>
      <c r="AJ412" s="294">
        <v>8481</v>
      </c>
      <c r="AK412" s="294">
        <v>8260</v>
      </c>
      <c r="AL412" s="294">
        <v>8075</v>
      </c>
      <c r="AM412" s="294">
        <v>8057</v>
      </c>
    </row>
    <row r="413" spans="1:39" x14ac:dyDescent="0.2">
      <c r="A413" s="294" t="s">
        <v>263</v>
      </c>
      <c r="C413" s="294" t="s">
        <v>271</v>
      </c>
      <c r="D413" s="294" t="s">
        <v>276</v>
      </c>
      <c r="E413" s="304">
        <v>4319</v>
      </c>
      <c r="F413" s="306">
        <v>4229</v>
      </c>
      <c r="G413" s="306" t="s">
        <v>273</v>
      </c>
      <c r="H413" s="303">
        <v>4251</v>
      </c>
      <c r="I413" s="303">
        <v>4203</v>
      </c>
      <c r="J413" s="303">
        <v>4203</v>
      </c>
      <c r="K413" s="303">
        <v>3745</v>
      </c>
      <c r="L413" s="303">
        <v>3338</v>
      </c>
      <c r="M413" s="303">
        <v>3128</v>
      </c>
      <c r="N413" s="303">
        <v>2933</v>
      </c>
      <c r="O413" s="303">
        <v>2879</v>
      </c>
      <c r="P413" s="303"/>
      <c r="Q413" s="303"/>
      <c r="R413" s="303"/>
      <c r="S413" s="303"/>
      <c r="T413" s="303"/>
      <c r="U413" s="303"/>
      <c r="V413" s="303"/>
      <c r="W413" s="303"/>
      <c r="X413" s="303"/>
      <c r="Y413" s="303"/>
      <c r="Z413" s="303"/>
      <c r="AA413" s="303"/>
      <c r="AB413" s="303"/>
      <c r="AC413" s="304">
        <v>9750</v>
      </c>
      <c r="AD413" s="306">
        <v>9647</v>
      </c>
      <c r="AE413" s="306" t="s">
        <v>273</v>
      </c>
      <c r="AF413" s="305">
        <v>9654</v>
      </c>
      <c r="AG413" s="294">
        <v>9438</v>
      </c>
      <c r="AH413" s="294">
        <v>9438</v>
      </c>
      <c r="AI413" s="294">
        <v>8980</v>
      </c>
      <c r="AJ413" s="294">
        <v>8573</v>
      </c>
      <c r="AK413" s="294">
        <v>8348</v>
      </c>
      <c r="AL413" s="294">
        <v>8147</v>
      </c>
      <c r="AM413" s="294">
        <v>8087</v>
      </c>
    </row>
    <row r="414" spans="1:39" x14ac:dyDescent="0.2">
      <c r="A414" s="294" t="s">
        <v>263</v>
      </c>
      <c r="C414" s="294" t="s">
        <v>271</v>
      </c>
      <c r="D414" s="294" t="s">
        <v>275</v>
      </c>
      <c r="E414" s="304">
        <v>4534</v>
      </c>
      <c r="F414" s="300">
        <v>4443</v>
      </c>
      <c r="G414" s="300">
        <v>4359</v>
      </c>
      <c r="H414" s="303">
        <v>4203</v>
      </c>
      <c r="I414" s="303">
        <v>4357</v>
      </c>
      <c r="J414" s="303">
        <v>4366</v>
      </c>
      <c r="K414" s="303">
        <v>3917</v>
      </c>
      <c r="L414" s="303">
        <v>3390</v>
      </c>
      <c r="M414" s="303">
        <v>3165</v>
      </c>
      <c r="N414" s="303">
        <v>2970</v>
      </c>
      <c r="O414" s="303">
        <v>2916</v>
      </c>
      <c r="P414" s="303"/>
      <c r="Q414" s="303"/>
      <c r="R414" s="303"/>
      <c r="S414" s="303"/>
      <c r="T414" s="303"/>
      <c r="U414" s="303"/>
      <c r="V414" s="303"/>
      <c r="W414" s="303"/>
      <c r="X414" s="303"/>
      <c r="Y414" s="303"/>
      <c r="Z414" s="303"/>
      <c r="AA414" s="303"/>
      <c r="AB414" s="303"/>
      <c r="AC414" s="304">
        <v>9965</v>
      </c>
      <c r="AD414" s="300">
        <v>9861</v>
      </c>
      <c r="AE414" s="300">
        <v>9768</v>
      </c>
      <c r="AF414" s="305">
        <v>9606</v>
      </c>
      <c r="AG414" s="294">
        <v>9592</v>
      </c>
      <c r="AH414" s="294">
        <v>9601</v>
      </c>
      <c r="AI414" s="294">
        <v>9152</v>
      </c>
      <c r="AJ414" s="294">
        <v>8625</v>
      </c>
      <c r="AK414" s="294">
        <v>8385</v>
      </c>
      <c r="AL414" s="294">
        <v>8184</v>
      </c>
      <c r="AM414" s="294">
        <v>8828</v>
      </c>
    </row>
    <row r="415" spans="1:39" x14ac:dyDescent="0.2">
      <c r="A415" s="294" t="s">
        <v>263</v>
      </c>
      <c r="C415" s="294" t="s">
        <v>271</v>
      </c>
      <c r="D415" s="294" t="s">
        <v>274</v>
      </c>
      <c r="E415" s="304">
        <v>4537</v>
      </c>
      <c r="F415" s="306">
        <v>4298</v>
      </c>
      <c r="G415" s="306" t="s">
        <v>273</v>
      </c>
      <c r="H415" s="303">
        <v>3951</v>
      </c>
      <c r="I415" s="303">
        <v>4105</v>
      </c>
      <c r="J415" s="303">
        <v>4105</v>
      </c>
      <c r="K415" s="303">
        <v>3647</v>
      </c>
      <c r="L415" s="303">
        <v>3232</v>
      </c>
      <c r="M415" s="303">
        <v>3021</v>
      </c>
      <c r="N415" s="303">
        <v>2826</v>
      </c>
      <c r="O415" s="303">
        <v>2772</v>
      </c>
      <c r="P415" s="303"/>
      <c r="Q415" s="303"/>
      <c r="R415" s="303"/>
      <c r="S415" s="303"/>
      <c r="T415" s="303"/>
      <c r="U415" s="303"/>
      <c r="V415" s="303"/>
      <c r="W415" s="303"/>
      <c r="X415" s="303"/>
      <c r="Y415" s="303"/>
      <c r="Z415" s="303"/>
      <c r="AA415" s="303"/>
      <c r="AB415" s="303"/>
      <c r="AC415" s="304">
        <v>9968</v>
      </c>
      <c r="AD415" s="306">
        <v>9716</v>
      </c>
      <c r="AE415" s="306" t="s">
        <v>273</v>
      </c>
      <c r="AF415" s="305">
        <v>9354</v>
      </c>
      <c r="AG415" s="294">
        <v>9340</v>
      </c>
      <c r="AH415" s="294">
        <v>9340</v>
      </c>
      <c r="AI415" s="294">
        <v>8882</v>
      </c>
      <c r="AJ415" s="294">
        <v>8467</v>
      </c>
      <c r="AK415" s="294">
        <v>8241</v>
      </c>
      <c r="AL415" s="294">
        <v>8040</v>
      </c>
      <c r="AM415" s="294">
        <v>7980</v>
      </c>
    </row>
    <row r="416" spans="1:39" x14ac:dyDescent="0.2">
      <c r="A416" s="294" t="s">
        <v>263</v>
      </c>
      <c r="C416" s="294" t="s">
        <v>271</v>
      </c>
      <c r="D416" s="294" t="s">
        <v>272</v>
      </c>
      <c r="E416" s="304">
        <v>4541</v>
      </c>
      <c r="F416" s="300">
        <v>4461</v>
      </c>
      <c r="G416" s="300">
        <v>4306</v>
      </c>
      <c r="H416" s="303">
        <v>4400</v>
      </c>
      <c r="I416" s="302">
        <v>4464</v>
      </c>
      <c r="J416" s="302">
        <v>4180</v>
      </c>
      <c r="K416" s="302">
        <v>3722</v>
      </c>
      <c r="L416" s="302">
        <v>3315</v>
      </c>
      <c r="M416" s="302">
        <v>3105</v>
      </c>
      <c r="N416" s="302">
        <v>2799</v>
      </c>
      <c r="O416" s="302">
        <v>2745</v>
      </c>
      <c r="P416" s="302"/>
      <c r="Q416" s="302"/>
      <c r="R416" s="302"/>
      <c r="S416" s="302"/>
      <c r="T416" s="302"/>
      <c r="U416" s="302"/>
      <c r="V416" s="302"/>
      <c r="W416" s="302"/>
      <c r="X416" s="302"/>
      <c r="Y416" s="302"/>
      <c r="Z416" s="302"/>
      <c r="AA416" s="302"/>
      <c r="AB416" s="302"/>
      <c r="AC416" s="304">
        <v>9972</v>
      </c>
      <c r="AD416" s="300">
        <v>9879</v>
      </c>
      <c r="AE416" s="300">
        <v>9715</v>
      </c>
      <c r="AF416" s="299">
        <v>9803</v>
      </c>
      <c r="AG416" s="294">
        <v>9699</v>
      </c>
      <c r="AH416" s="294">
        <v>9415</v>
      </c>
      <c r="AI416" s="294">
        <v>8957</v>
      </c>
      <c r="AJ416" s="294">
        <v>8550</v>
      </c>
      <c r="AK416" s="294">
        <v>8325</v>
      </c>
      <c r="AL416" s="294">
        <v>8013</v>
      </c>
      <c r="AM416" s="294">
        <v>7953</v>
      </c>
    </row>
    <row r="417" spans="1:50" x14ac:dyDescent="0.2">
      <c r="A417" s="294" t="s">
        <v>263</v>
      </c>
      <c r="C417" s="294" t="s">
        <v>271</v>
      </c>
      <c r="D417" s="294" t="s">
        <v>270</v>
      </c>
      <c r="E417" s="304">
        <v>4567</v>
      </c>
      <c r="F417" s="300">
        <v>4409</v>
      </c>
      <c r="G417" s="300">
        <v>4324</v>
      </c>
      <c r="H417" s="303">
        <v>4319</v>
      </c>
      <c r="I417" s="302">
        <v>4473</v>
      </c>
      <c r="J417" s="302">
        <v>4338</v>
      </c>
      <c r="K417" s="302">
        <v>3850</v>
      </c>
      <c r="L417" s="302">
        <v>3443</v>
      </c>
      <c r="M417" s="302">
        <v>3233</v>
      </c>
      <c r="N417" s="302">
        <v>2963</v>
      </c>
      <c r="O417" s="302">
        <v>2811</v>
      </c>
      <c r="P417" s="302"/>
      <c r="Q417" s="302"/>
      <c r="R417" s="302"/>
      <c r="S417" s="302"/>
      <c r="T417" s="302"/>
      <c r="U417" s="302"/>
      <c r="V417" s="302"/>
      <c r="W417" s="302"/>
      <c r="X417" s="302"/>
      <c r="Y417" s="302"/>
      <c r="Z417" s="302"/>
      <c r="AA417" s="302"/>
      <c r="AB417" s="302"/>
      <c r="AC417" s="304">
        <v>9998</v>
      </c>
      <c r="AD417" s="300">
        <v>9827</v>
      </c>
      <c r="AE417" s="300">
        <v>9733</v>
      </c>
      <c r="AF417" s="299">
        <v>9722</v>
      </c>
      <c r="AG417" s="294">
        <v>9708</v>
      </c>
      <c r="AH417" s="294">
        <v>9573</v>
      </c>
      <c r="AI417" s="294">
        <v>9085</v>
      </c>
      <c r="AJ417" s="294">
        <v>8678</v>
      </c>
      <c r="AK417" s="294">
        <v>8453</v>
      </c>
      <c r="AL417" s="294">
        <v>8177</v>
      </c>
      <c r="AM417" s="294">
        <v>8019</v>
      </c>
    </row>
    <row r="418" spans="1:50" x14ac:dyDescent="0.2">
      <c r="A418" s="294" t="s">
        <v>263</v>
      </c>
      <c r="B418" s="294" t="s">
        <v>262</v>
      </c>
      <c r="C418" s="294" t="s">
        <v>261</v>
      </c>
      <c r="D418" s="294" t="s">
        <v>269</v>
      </c>
      <c r="E418" s="304">
        <v>3072</v>
      </c>
      <c r="F418" s="300">
        <v>3024</v>
      </c>
      <c r="G418" s="300">
        <v>2832</v>
      </c>
      <c r="H418" s="303">
        <v>2640</v>
      </c>
      <c r="I418" s="302">
        <v>2448</v>
      </c>
      <c r="J418" s="302">
        <v>2232</v>
      </c>
      <c r="K418" s="302">
        <v>2136</v>
      </c>
      <c r="L418" s="302">
        <v>1848</v>
      </c>
      <c r="M418" s="302">
        <v>1848</v>
      </c>
      <c r="N418" s="302">
        <v>1752</v>
      </c>
      <c r="O418" s="302">
        <v>1668</v>
      </c>
      <c r="P418" s="302"/>
      <c r="Q418" s="302"/>
      <c r="R418" s="302"/>
      <c r="S418" s="302"/>
      <c r="T418" s="302"/>
      <c r="U418" s="302"/>
      <c r="V418" s="302"/>
      <c r="W418" s="302"/>
      <c r="X418" s="302"/>
      <c r="Y418" s="302"/>
      <c r="Z418" s="302"/>
      <c r="AA418" s="302"/>
      <c r="AB418" s="302"/>
      <c r="AC418" s="304">
        <v>7584</v>
      </c>
      <c r="AD418" s="300">
        <v>7536</v>
      </c>
      <c r="AE418" s="300">
        <v>7104</v>
      </c>
      <c r="AF418" s="299">
        <v>6624</v>
      </c>
      <c r="AG418" s="294">
        <v>6240</v>
      </c>
      <c r="AH418" s="294">
        <v>5832</v>
      </c>
      <c r="AI418" s="294">
        <v>5544</v>
      </c>
      <c r="AJ418" s="294">
        <v>5112</v>
      </c>
      <c r="AK418" s="294">
        <v>5112</v>
      </c>
      <c r="AL418" s="294">
        <v>4872</v>
      </c>
      <c r="AM418" s="294">
        <v>4652</v>
      </c>
    </row>
    <row r="419" spans="1:50" x14ac:dyDescent="0.2">
      <c r="A419" s="294" t="s">
        <v>263</v>
      </c>
      <c r="B419" s="294" t="s">
        <v>262</v>
      </c>
      <c r="C419" s="294" t="s">
        <v>261</v>
      </c>
      <c r="D419" s="294" t="s">
        <v>268</v>
      </c>
      <c r="E419" s="304">
        <v>3120</v>
      </c>
      <c r="F419" s="300">
        <v>3024</v>
      </c>
      <c r="G419" s="300">
        <v>2856</v>
      </c>
      <c r="H419" s="303">
        <v>2712</v>
      </c>
      <c r="I419" s="302">
        <v>2568</v>
      </c>
      <c r="J419" s="302">
        <v>2472</v>
      </c>
      <c r="K419" s="302">
        <v>2208</v>
      </c>
      <c r="L419" s="302">
        <v>2136</v>
      </c>
      <c r="M419" s="302">
        <v>2136</v>
      </c>
      <c r="N419" s="302">
        <v>2064</v>
      </c>
      <c r="O419" s="302">
        <v>1992</v>
      </c>
      <c r="P419" s="302"/>
      <c r="Q419" s="302"/>
      <c r="R419" s="302"/>
      <c r="S419" s="302"/>
      <c r="T419" s="302"/>
      <c r="U419" s="302"/>
      <c r="V419" s="302"/>
      <c r="W419" s="302"/>
      <c r="X419" s="302"/>
      <c r="Y419" s="302"/>
      <c r="Z419" s="302"/>
      <c r="AA419" s="302"/>
      <c r="AB419" s="302"/>
      <c r="AC419" s="304">
        <v>7632</v>
      </c>
      <c r="AD419" s="300">
        <v>7536</v>
      </c>
      <c r="AE419" s="300">
        <v>7128</v>
      </c>
      <c r="AF419" s="299">
        <v>6696</v>
      </c>
      <c r="AG419" s="294">
        <v>6360</v>
      </c>
      <c r="AH419" s="294">
        <v>6072</v>
      </c>
      <c r="AI419" s="294">
        <v>5616</v>
      </c>
      <c r="AJ419" s="294">
        <v>5400</v>
      </c>
      <c r="AK419" s="294">
        <v>5400</v>
      </c>
      <c r="AL419" s="294">
        <v>5184</v>
      </c>
      <c r="AM419" s="294">
        <v>4989</v>
      </c>
    </row>
    <row r="420" spans="1:50" x14ac:dyDescent="0.2">
      <c r="A420" s="294" t="s">
        <v>263</v>
      </c>
      <c r="B420" s="294" t="s">
        <v>262</v>
      </c>
      <c r="C420" s="294" t="s">
        <v>261</v>
      </c>
      <c r="D420" s="294" t="s">
        <v>267</v>
      </c>
      <c r="E420" s="304">
        <v>3096</v>
      </c>
      <c r="F420" s="300">
        <v>3096</v>
      </c>
      <c r="G420" s="300">
        <v>2712</v>
      </c>
      <c r="H420" s="303">
        <v>2472</v>
      </c>
      <c r="I420" s="302">
        <v>2472</v>
      </c>
      <c r="J420" s="302">
        <v>2376</v>
      </c>
      <c r="K420" s="302">
        <v>2280</v>
      </c>
      <c r="L420" s="302">
        <v>2144</v>
      </c>
      <c r="M420" s="302">
        <v>2016</v>
      </c>
      <c r="N420" s="302">
        <v>1944</v>
      </c>
      <c r="O420" s="302">
        <v>1872</v>
      </c>
      <c r="P420" s="302"/>
      <c r="Q420" s="302"/>
      <c r="R420" s="302"/>
      <c r="S420" s="302"/>
      <c r="T420" s="302"/>
      <c r="U420" s="302"/>
      <c r="V420" s="302"/>
      <c r="W420" s="302"/>
      <c r="X420" s="302"/>
      <c r="Y420" s="302"/>
      <c r="Z420" s="302"/>
      <c r="AA420" s="302"/>
      <c r="AB420" s="302"/>
      <c r="AC420" s="304">
        <v>7608</v>
      </c>
      <c r="AD420" s="300">
        <v>7608</v>
      </c>
      <c r="AE420" s="300">
        <v>6984</v>
      </c>
      <c r="AF420" s="299">
        <v>6476</v>
      </c>
      <c r="AG420" s="294">
        <v>6264</v>
      </c>
      <c r="AH420" s="294">
        <v>5976</v>
      </c>
      <c r="AI420" s="294">
        <v>5688</v>
      </c>
      <c r="AJ420" s="294">
        <v>5408</v>
      </c>
      <c r="AK420" s="294">
        <v>5280</v>
      </c>
      <c r="AL420" s="294">
        <v>5064</v>
      </c>
      <c r="AM420" s="294">
        <v>4864</v>
      </c>
    </row>
    <row r="421" spans="1:50" x14ac:dyDescent="0.2">
      <c r="A421" s="294" t="s">
        <v>263</v>
      </c>
      <c r="B421" s="294" t="s">
        <v>262</v>
      </c>
      <c r="C421" s="294" t="s">
        <v>261</v>
      </c>
      <c r="D421" s="294" t="s">
        <v>266</v>
      </c>
      <c r="E421" s="304">
        <v>3426</v>
      </c>
      <c r="F421" s="300">
        <v>3426</v>
      </c>
      <c r="G421" s="300">
        <v>3306</v>
      </c>
      <c r="H421" s="303">
        <v>3144</v>
      </c>
      <c r="I421" s="302">
        <v>2376</v>
      </c>
      <c r="J421" s="302">
        <v>2640</v>
      </c>
      <c r="K421" s="302">
        <v>2544</v>
      </c>
      <c r="L421" s="302">
        <v>2472</v>
      </c>
      <c r="M421" s="302">
        <v>2472</v>
      </c>
      <c r="N421" s="302">
        <v>2208</v>
      </c>
      <c r="O421" s="302">
        <v>2088</v>
      </c>
      <c r="P421" s="302"/>
      <c r="Q421" s="302"/>
      <c r="R421" s="302"/>
      <c r="S421" s="302"/>
      <c r="T421" s="302"/>
      <c r="U421" s="302"/>
      <c r="V421" s="302"/>
      <c r="W421" s="302"/>
      <c r="X421" s="302"/>
      <c r="Y421" s="302"/>
      <c r="Z421" s="302"/>
      <c r="AA421" s="302"/>
      <c r="AB421" s="302"/>
      <c r="AC421" s="304">
        <v>7938</v>
      </c>
      <c r="AD421" s="300">
        <v>7938</v>
      </c>
      <c r="AE421" s="300">
        <v>7578</v>
      </c>
      <c r="AF421" s="299">
        <v>7128</v>
      </c>
      <c r="AG421" s="294">
        <v>6528</v>
      </c>
      <c r="AH421" s="294">
        <v>6240</v>
      </c>
      <c r="AI421" s="294">
        <v>5952</v>
      </c>
      <c r="AJ421" s="294">
        <v>5736</v>
      </c>
      <c r="AK421" s="294">
        <v>5736</v>
      </c>
      <c r="AL421" s="294">
        <v>5328</v>
      </c>
      <c r="AM421" s="294">
        <v>5064</v>
      </c>
    </row>
    <row r="422" spans="1:50" x14ac:dyDescent="0.2">
      <c r="A422" s="294" t="s">
        <v>263</v>
      </c>
      <c r="B422" s="294" t="s">
        <v>262</v>
      </c>
      <c r="C422" s="294" t="s">
        <v>261</v>
      </c>
      <c r="D422" s="294" t="s">
        <v>265</v>
      </c>
      <c r="E422" s="304">
        <v>3420</v>
      </c>
      <c r="F422" s="300">
        <v>3336</v>
      </c>
      <c r="G422" s="300">
        <v>3156</v>
      </c>
      <c r="H422" s="303">
        <v>2952</v>
      </c>
      <c r="I422" s="302">
        <v>2653</v>
      </c>
      <c r="J422" s="302">
        <v>2436</v>
      </c>
      <c r="K422" s="302">
        <v>2312</v>
      </c>
      <c r="L422" s="302">
        <v>2246</v>
      </c>
      <c r="M422" s="302">
        <v>2132</v>
      </c>
      <c r="N422" s="302">
        <v>2107</v>
      </c>
      <c r="O422" s="302">
        <v>2000</v>
      </c>
      <c r="P422" s="302"/>
      <c r="Q422" s="302"/>
      <c r="R422" s="302"/>
      <c r="S422" s="302"/>
      <c r="T422" s="302"/>
      <c r="U422" s="302"/>
      <c r="V422" s="302"/>
      <c r="W422" s="302"/>
      <c r="X422" s="302"/>
      <c r="Y422" s="302"/>
      <c r="Z422" s="302"/>
      <c r="AA422" s="302"/>
      <c r="AB422" s="302"/>
      <c r="AC422" s="301">
        <v>7932</v>
      </c>
      <c r="AD422" s="300">
        <v>7848</v>
      </c>
      <c r="AE422" s="300">
        <v>7428</v>
      </c>
      <c r="AF422" s="299">
        <v>6936</v>
      </c>
      <c r="AG422" s="294">
        <v>6445</v>
      </c>
      <c r="AH422" s="294">
        <v>6036</v>
      </c>
      <c r="AI422" s="294">
        <v>5720</v>
      </c>
      <c r="AJ422" s="294">
        <v>5510</v>
      </c>
      <c r="AK422" s="294">
        <v>5396</v>
      </c>
      <c r="AL422" s="294">
        <v>5227</v>
      </c>
      <c r="AM422" s="294">
        <v>4995</v>
      </c>
    </row>
    <row r="423" spans="1:50" x14ac:dyDescent="0.2">
      <c r="A423" s="294" t="s">
        <v>263</v>
      </c>
      <c r="B423" s="294" t="s">
        <v>262</v>
      </c>
      <c r="C423" s="294" t="s">
        <v>261</v>
      </c>
      <c r="D423" s="294" t="s">
        <v>264</v>
      </c>
      <c r="E423" s="304">
        <v>3396</v>
      </c>
      <c r="F423" s="300">
        <v>3362</v>
      </c>
      <c r="G423" s="300">
        <v>3191</v>
      </c>
      <c r="H423" s="303">
        <v>2736</v>
      </c>
      <c r="I423" s="302">
        <v>2614</v>
      </c>
      <c r="J423" s="302">
        <v>2398</v>
      </c>
      <c r="K423" s="302">
        <v>2302</v>
      </c>
      <c r="L423" s="302">
        <v>2227</v>
      </c>
      <c r="M423" s="302">
        <v>2227</v>
      </c>
      <c r="N423" s="302">
        <v>2131</v>
      </c>
      <c r="O423" s="302">
        <v>2016</v>
      </c>
      <c r="P423" s="302"/>
      <c r="Q423" s="302"/>
      <c r="R423" s="302"/>
      <c r="S423" s="302"/>
      <c r="T423" s="302"/>
      <c r="U423" s="302"/>
      <c r="V423" s="302"/>
      <c r="W423" s="302"/>
      <c r="X423" s="302"/>
      <c r="Y423" s="302"/>
      <c r="Z423" s="302"/>
      <c r="AA423" s="302"/>
      <c r="AB423" s="302"/>
      <c r="AC423" s="304">
        <v>7908</v>
      </c>
      <c r="AD423" s="300">
        <v>7874</v>
      </c>
      <c r="AE423" s="300">
        <v>7463</v>
      </c>
      <c r="AF423" s="299">
        <v>6720</v>
      </c>
      <c r="AG423" s="294">
        <v>6406</v>
      </c>
      <c r="AH423" s="294">
        <v>5998</v>
      </c>
      <c r="AI423" s="294">
        <v>5710</v>
      </c>
      <c r="AJ423" s="294">
        <v>5491</v>
      </c>
      <c r="AK423" s="294">
        <v>5491</v>
      </c>
      <c r="AL423" s="294">
        <v>5251</v>
      </c>
      <c r="AM423" s="294">
        <v>5146</v>
      </c>
    </row>
    <row r="424" spans="1:50" x14ac:dyDescent="0.2">
      <c r="A424" s="294" t="s">
        <v>263</v>
      </c>
      <c r="B424" s="294" t="s">
        <v>262</v>
      </c>
      <c r="C424" s="294" t="s">
        <v>261</v>
      </c>
      <c r="D424" s="294" t="s">
        <v>260</v>
      </c>
      <c r="E424" s="301">
        <v>3046</v>
      </c>
      <c r="F424" s="300">
        <v>3006</v>
      </c>
      <c r="G424" s="300">
        <v>2544</v>
      </c>
      <c r="H424" s="303">
        <v>2400</v>
      </c>
      <c r="I424" s="302">
        <v>2282</v>
      </c>
      <c r="J424" s="302">
        <v>2186</v>
      </c>
      <c r="K424" s="302">
        <v>2142</v>
      </c>
      <c r="L424" s="302">
        <v>1994</v>
      </c>
      <c r="M424" s="302">
        <v>1994</v>
      </c>
      <c r="N424" s="302">
        <v>1916</v>
      </c>
      <c r="O424" s="302">
        <v>1828</v>
      </c>
      <c r="P424" s="302"/>
      <c r="Q424" s="302"/>
      <c r="R424" s="302"/>
      <c r="S424" s="302"/>
      <c r="T424" s="302"/>
      <c r="U424" s="302"/>
      <c r="V424" s="302"/>
      <c r="W424" s="302"/>
      <c r="X424" s="302"/>
      <c r="Y424" s="302"/>
      <c r="Z424" s="302"/>
      <c r="AA424" s="302"/>
      <c r="AB424" s="302"/>
      <c r="AC424" s="301">
        <v>7558</v>
      </c>
      <c r="AD424" s="300">
        <v>7518</v>
      </c>
      <c r="AE424" s="300">
        <v>6816</v>
      </c>
      <c r="AF424" s="299">
        <v>6384</v>
      </c>
      <c r="AG424" s="294">
        <v>6074</v>
      </c>
      <c r="AH424" s="294">
        <v>5786</v>
      </c>
      <c r="AI424" s="294">
        <v>5550</v>
      </c>
      <c r="AJ424" s="294">
        <v>5258</v>
      </c>
      <c r="AK424" s="294">
        <v>5258</v>
      </c>
      <c r="AL424" s="294">
        <v>5036</v>
      </c>
      <c r="AM424" s="294">
        <v>4804</v>
      </c>
    </row>
    <row r="426" spans="1:50" s="295" customFormat="1" x14ac:dyDescent="0.2">
      <c r="D426" s="296" t="s">
        <v>259</v>
      </c>
      <c r="E426" s="296">
        <f>COUNT(E169:E424)</f>
        <v>255</v>
      </c>
      <c r="F426" s="296">
        <f>COUNT(F169:F424)</f>
        <v>255</v>
      </c>
      <c r="G426" s="296">
        <f t="shared" ref="G426:L426" si="168">COUNT(G169:G424)</f>
        <v>252</v>
      </c>
      <c r="H426" s="296">
        <f t="shared" si="168"/>
        <v>255</v>
      </c>
      <c r="I426" s="296">
        <f t="shared" si="168"/>
        <v>254</v>
      </c>
      <c r="J426" s="296">
        <f t="shared" si="168"/>
        <v>254</v>
      </c>
      <c r="K426" s="296">
        <f t="shared" si="168"/>
        <v>253</v>
      </c>
      <c r="L426" s="296">
        <f t="shared" si="168"/>
        <v>253</v>
      </c>
      <c r="M426" s="296">
        <v>255</v>
      </c>
      <c r="N426" s="296">
        <v>255</v>
      </c>
      <c r="O426" s="296">
        <v>254</v>
      </c>
      <c r="AC426" s="298">
        <f>COUNT(AC169:AC424)</f>
        <v>254</v>
      </c>
      <c r="AD426" s="298">
        <f>COUNT(AD169:AD424)</f>
        <v>255</v>
      </c>
      <c r="AE426" s="297">
        <f t="shared" ref="AE426:AJ426" si="169">COUNT(AE169:AE424)</f>
        <v>252</v>
      </c>
      <c r="AF426" s="297">
        <f t="shared" si="169"/>
        <v>255</v>
      </c>
      <c r="AG426" s="297">
        <f t="shared" si="169"/>
        <v>255</v>
      </c>
      <c r="AH426" s="297">
        <f t="shared" si="169"/>
        <v>255</v>
      </c>
      <c r="AI426" s="296">
        <f t="shared" si="169"/>
        <v>255</v>
      </c>
      <c r="AJ426" s="296">
        <f t="shared" si="169"/>
        <v>254</v>
      </c>
      <c r="AK426" s="296">
        <v>255</v>
      </c>
      <c r="AL426" s="296">
        <v>255</v>
      </c>
      <c r="AM426" s="296">
        <v>250</v>
      </c>
      <c r="AX426" s="295" t="s">
        <v>258</v>
      </c>
    </row>
    <row r="427" spans="1:50" s="295" customFormat="1" x14ac:dyDescent="0.2">
      <c r="D427" s="296" t="s">
        <v>257</v>
      </c>
      <c r="E427" s="296">
        <f>MAX(E169:E424)</f>
        <v>7710</v>
      </c>
      <c r="F427" s="296">
        <f>MAX(F169:F424)</f>
        <v>7734</v>
      </c>
      <c r="G427" s="296">
        <f t="shared" ref="G427:O427" si="170">MAX(G169:G424)</f>
        <v>7508</v>
      </c>
      <c r="H427" s="296">
        <f t="shared" si="170"/>
        <v>7138</v>
      </c>
      <c r="I427" s="296">
        <f t="shared" si="170"/>
        <v>6523</v>
      </c>
      <c r="J427" s="296">
        <f t="shared" si="170"/>
        <v>6379</v>
      </c>
      <c r="K427" s="296">
        <f t="shared" si="170"/>
        <v>5990</v>
      </c>
      <c r="L427" s="296">
        <f t="shared" si="170"/>
        <v>5445</v>
      </c>
      <c r="M427" s="861">
        <f t="shared" si="170"/>
        <v>4752</v>
      </c>
      <c r="N427" s="861">
        <f t="shared" si="170"/>
        <v>4583</v>
      </c>
      <c r="O427" s="861">
        <f t="shared" si="170"/>
        <v>4238</v>
      </c>
      <c r="AC427" s="298">
        <f>MAX(AC169:AC424)</f>
        <v>19401</v>
      </c>
      <c r="AD427" s="298">
        <f>MAX(AD169:AD424)</f>
        <v>18849</v>
      </c>
      <c r="AE427" s="297">
        <f t="shared" ref="AE427:AM427" si="171">MAX(AE169:AE424)</f>
        <v>17873.82</v>
      </c>
      <c r="AF427" s="297">
        <f t="shared" si="171"/>
        <v>16204</v>
      </c>
      <c r="AG427" s="297">
        <f t="shared" si="171"/>
        <v>15509</v>
      </c>
      <c r="AH427" s="297">
        <f t="shared" si="171"/>
        <v>14605</v>
      </c>
      <c r="AI427" s="296">
        <f t="shared" si="171"/>
        <v>13672</v>
      </c>
      <c r="AJ427" s="296">
        <f t="shared" si="171"/>
        <v>13356</v>
      </c>
      <c r="AK427" s="861">
        <f t="shared" si="171"/>
        <v>12256</v>
      </c>
      <c r="AL427" s="861">
        <f t="shared" si="171"/>
        <v>12119</v>
      </c>
      <c r="AM427" s="861">
        <f t="shared" si="171"/>
        <v>11565</v>
      </c>
    </row>
    <row r="428" spans="1:50" s="295" customFormat="1" x14ac:dyDescent="0.2">
      <c r="D428" s="296" t="s">
        <v>256</v>
      </c>
      <c r="E428" s="296">
        <f>MIN(E169:E424)</f>
        <v>968</v>
      </c>
      <c r="F428" s="296">
        <f>MIN(F169:F424)</f>
        <v>962</v>
      </c>
      <c r="G428" s="296">
        <f t="shared" ref="G428:O428" si="172">MIN(G169:G424)</f>
        <v>962</v>
      </c>
      <c r="H428" s="296">
        <f t="shared" si="172"/>
        <v>886</v>
      </c>
      <c r="I428" s="296">
        <f t="shared" si="172"/>
        <v>886</v>
      </c>
      <c r="J428" s="296">
        <f t="shared" si="172"/>
        <v>852</v>
      </c>
      <c r="K428" s="296">
        <f t="shared" si="172"/>
        <v>812</v>
      </c>
      <c r="L428" s="296">
        <f t="shared" si="172"/>
        <v>764</v>
      </c>
      <c r="M428" s="861">
        <f t="shared" si="172"/>
        <v>704</v>
      </c>
      <c r="N428" s="861">
        <f t="shared" si="172"/>
        <v>600</v>
      </c>
      <c r="O428" s="861">
        <f t="shared" si="172"/>
        <v>600</v>
      </c>
      <c r="AC428" s="298">
        <f>MIN(AC169:AC424)</f>
        <v>2088</v>
      </c>
      <c r="AD428" s="298">
        <f>MIN(AD169:AD424)</f>
        <v>1968</v>
      </c>
      <c r="AE428" s="297">
        <f t="shared" ref="AE428:AM428" si="173">MIN(AE169:AE424)</f>
        <v>1896</v>
      </c>
      <c r="AF428" s="297">
        <f t="shared" si="173"/>
        <v>1896</v>
      </c>
      <c r="AG428" s="297">
        <f t="shared" si="173"/>
        <v>1896</v>
      </c>
      <c r="AH428" s="297">
        <f t="shared" si="173"/>
        <v>1524</v>
      </c>
      <c r="AI428" s="296">
        <f t="shared" si="173"/>
        <v>1524</v>
      </c>
      <c r="AJ428" s="296">
        <f t="shared" si="173"/>
        <v>1704</v>
      </c>
      <c r="AK428" s="861">
        <f t="shared" si="173"/>
        <v>1600</v>
      </c>
      <c r="AL428" s="861">
        <f t="shared" si="173"/>
        <v>960</v>
      </c>
      <c r="AM428" s="861">
        <f t="shared" si="173"/>
        <v>960</v>
      </c>
    </row>
    <row r="429" spans="1:50" s="295" customFormat="1" x14ac:dyDescent="0.2">
      <c r="D429" s="296" t="s">
        <v>255</v>
      </c>
      <c r="E429" s="296">
        <f>AVERAGE(E169:E424)</f>
        <v>2823.6271372549022</v>
      </c>
      <c r="F429" s="296">
        <f>AVERAGE(F169:F424)</f>
        <v>2768.0933333333337</v>
      </c>
      <c r="G429" s="296">
        <f t="shared" ref="G429:O429" si="174">AVERAGE(G169:G424)</f>
        <v>2661.9051984126986</v>
      </c>
      <c r="H429" s="296">
        <f t="shared" si="174"/>
        <v>2619.7019607843135</v>
      </c>
      <c r="I429" s="296">
        <f t="shared" si="174"/>
        <v>2419.6496062992128</v>
      </c>
      <c r="J429" s="296">
        <f t="shared" si="174"/>
        <v>2360.5314960629921</v>
      </c>
      <c r="K429" s="296">
        <f t="shared" si="174"/>
        <v>2235.2292490118575</v>
      </c>
      <c r="L429" s="296">
        <f t="shared" si="174"/>
        <v>1955.4584980237155</v>
      </c>
      <c r="M429" s="861">
        <f t="shared" si="174"/>
        <v>1850.5612648221345</v>
      </c>
      <c r="N429" s="861">
        <f t="shared" si="174"/>
        <v>1687.1343873517787</v>
      </c>
      <c r="O429" s="861">
        <f t="shared" si="174"/>
        <v>1624.8095238095239</v>
      </c>
      <c r="AC429" s="298">
        <f>AVERAGE(AC169:AC424)</f>
        <v>9383.6378740157488</v>
      </c>
      <c r="AD429" s="298">
        <f>AVERAGE(AD169:AD424)</f>
        <v>9172.6</v>
      </c>
      <c r="AE429" s="297">
        <f>AVERAGE(AE169:AE424)</f>
        <v>8807.593095238095</v>
      </c>
      <c r="AF429" s="297">
        <f>AVERAGE(AF169:AF424)</f>
        <v>8185.8235294117649</v>
      </c>
      <c r="AG429" s="297">
        <f t="shared" ref="AG429:AM429" si="175">AVERAGE(AG169:AG424)</f>
        <v>7754.552941176471</v>
      </c>
      <c r="AH429" s="297">
        <f t="shared" si="175"/>
        <v>7622.113725490196</v>
      </c>
      <c r="AI429" s="296">
        <f t="shared" si="175"/>
        <v>7324.9843137254902</v>
      </c>
      <c r="AJ429" s="296">
        <f t="shared" si="175"/>
        <v>7127.8503937007872</v>
      </c>
      <c r="AK429" s="861">
        <f t="shared" si="175"/>
        <v>6953.4842519685035</v>
      </c>
      <c r="AL429" s="861">
        <f t="shared" si="175"/>
        <v>6810.4921259842522</v>
      </c>
      <c r="AM429" s="861">
        <f t="shared" si="175"/>
        <v>6434.3373493975905</v>
      </c>
    </row>
    <row r="430" spans="1:50" s="295" customFormat="1" ht="12.75" hidden="1" customHeight="1" x14ac:dyDescent="0.2">
      <c r="D430" s="296" t="s">
        <v>254</v>
      </c>
      <c r="E430" s="296">
        <f>RANK(E381,E169:E424,0)</f>
        <v>132</v>
      </c>
      <c r="F430" s="296">
        <f t="shared" ref="F430:K430" si="176">RANK(F381,F169:F424,0)</f>
        <v>88</v>
      </c>
      <c r="G430" s="296">
        <f t="shared" si="176"/>
        <v>86</v>
      </c>
      <c r="H430" s="296">
        <f t="shared" si="176"/>
        <v>90</v>
      </c>
      <c r="I430" s="296">
        <f t="shared" si="176"/>
        <v>86</v>
      </c>
      <c r="J430" s="296">
        <f t="shared" si="176"/>
        <v>89</v>
      </c>
      <c r="K430" s="296">
        <f t="shared" si="176"/>
        <v>91</v>
      </c>
      <c r="L430" s="296">
        <v>93</v>
      </c>
      <c r="M430" s="296">
        <v>88</v>
      </c>
      <c r="N430" s="296">
        <v>88</v>
      </c>
      <c r="O430" s="296">
        <v>87</v>
      </c>
      <c r="AC430" s="298">
        <f>RANK(AC381,AC169:AC424,0)</f>
        <v>233</v>
      </c>
      <c r="AD430" s="298">
        <f t="shared" ref="AD430:AI430" si="177">RANK(AD381,AD169:AD424,0)</f>
        <v>229</v>
      </c>
      <c r="AE430" s="297">
        <f t="shared" si="177"/>
        <v>227</v>
      </c>
      <c r="AF430" s="297">
        <f t="shared" si="177"/>
        <v>226</v>
      </c>
      <c r="AG430" s="297">
        <f t="shared" si="177"/>
        <v>226</v>
      </c>
      <c r="AH430" s="297">
        <f t="shared" si="177"/>
        <v>225</v>
      </c>
      <c r="AI430" s="296">
        <f t="shared" si="177"/>
        <v>229</v>
      </c>
      <c r="AJ430" s="296">
        <v>227</v>
      </c>
      <c r="AK430" s="296">
        <v>229</v>
      </c>
      <c r="AL430" s="296">
        <v>228</v>
      </c>
      <c r="AM430" s="296">
        <v>68</v>
      </c>
    </row>
    <row r="431" spans="1:50" s="295" customFormat="1" x14ac:dyDescent="0.2">
      <c r="D431" s="296" t="s">
        <v>253</v>
      </c>
      <c r="E431" s="296">
        <f>RANK(E382,E169:E424,0)</f>
        <v>88</v>
      </c>
      <c r="F431" s="296">
        <f t="shared" ref="F431:K431" si="178">RANK(F382,F169:F424,0)</f>
        <v>87</v>
      </c>
      <c r="G431" s="296">
        <f t="shared" si="178"/>
        <v>84</v>
      </c>
      <c r="H431" s="296">
        <f t="shared" si="178"/>
        <v>88</v>
      </c>
      <c r="I431" s="296">
        <f t="shared" si="178"/>
        <v>82</v>
      </c>
      <c r="J431" s="296">
        <f t="shared" si="178"/>
        <v>80</v>
      </c>
      <c r="K431" s="296">
        <f t="shared" si="178"/>
        <v>84</v>
      </c>
      <c r="L431" s="296">
        <v>81</v>
      </c>
      <c r="M431" s="296">
        <v>81</v>
      </c>
      <c r="N431" s="296">
        <v>13</v>
      </c>
      <c r="O431" s="296">
        <v>70</v>
      </c>
      <c r="AC431" s="298">
        <f>RANK(AC382,AC169:AC424,0)</f>
        <v>17</v>
      </c>
      <c r="AD431" s="298">
        <f t="shared" ref="AD431:AI431" si="179">RANK(AD382,AD169:AD424,0)</f>
        <v>17</v>
      </c>
      <c r="AE431" s="297">
        <f t="shared" si="179"/>
        <v>14</v>
      </c>
      <c r="AF431" s="297">
        <f t="shared" si="179"/>
        <v>15</v>
      </c>
      <c r="AG431" s="297">
        <f t="shared" si="179"/>
        <v>20</v>
      </c>
      <c r="AH431" s="297">
        <f t="shared" si="179"/>
        <v>22</v>
      </c>
      <c r="AI431" s="296">
        <f t="shared" si="179"/>
        <v>22</v>
      </c>
      <c r="AJ431" s="296">
        <v>34</v>
      </c>
      <c r="AK431" s="296">
        <v>36</v>
      </c>
      <c r="AL431" s="296">
        <v>36</v>
      </c>
      <c r="AM431" s="296">
        <v>70</v>
      </c>
    </row>
    <row r="432" spans="1:50" s="295" customFormat="1" x14ac:dyDescent="0.2">
      <c r="D432" s="296" t="s">
        <v>252</v>
      </c>
      <c r="E432" s="296">
        <f>RANK(E383,E169:E424,0)</f>
        <v>90</v>
      </c>
      <c r="F432" s="296">
        <f t="shared" ref="F432:K432" si="180">RANK(F383,F169:F424,0)</f>
        <v>91</v>
      </c>
      <c r="G432" s="296">
        <f t="shared" si="180"/>
        <v>87</v>
      </c>
      <c r="H432" s="296">
        <f t="shared" si="180"/>
        <v>91</v>
      </c>
      <c r="I432" s="296">
        <f t="shared" si="180"/>
        <v>87</v>
      </c>
      <c r="J432" s="296">
        <f t="shared" si="180"/>
        <v>85</v>
      </c>
      <c r="K432" s="296">
        <f t="shared" si="180"/>
        <v>92</v>
      </c>
      <c r="L432" s="296">
        <v>87</v>
      </c>
      <c r="M432" s="296">
        <v>84</v>
      </c>
      <c r="N432" s="296">
        <v>84</v>
      </c>
      <c r="O432" s="296">
        <v>84</v>
      </c>
      <c r="AC432" s="298">
        <f>RANK(AC383,AC169:AC424,0)</f>
        <v>15</v>
      </c>
      <c r="AD432" s="298">
        <f t="shared" ref="AD432:AI432" si="181">RANK(AD383,AD169:AD424,0)</f>
        <v>15</v>
      </c>
      <c r="AE432" s="297">
        <f t="shared" si="181"/>
        <v>13</v>
      </c>
      <c r="AF432" s="297">
        <f t="shared" si="181"/>
        <v>13</v>
      </c>
      <c r="AG432" s="297">
        <f t="shared" si="181"/>
        <v>17</v>
      </c>
      <c r="AH432" s="297">
        <f t="shared" si="181"/>
        <v>20</v>
      </c>
      <c r="AI432" s="296">
        <f t="shared" si="181"/>
        <v>23</v>
      </c>
      <c r="AJ432" s="296">
        <v>36</v>
      </c>
      <c r="AK432" s="296">
        <v>65</v>
      </c>
      <c r="AL432" s="296">
        <v>41</v>
      </c>
      <c r="AM432" s="296">
        <v>73</v>
      </c>
    </row>
    <row r="433" spans="4:39" s="295" customFormat="1" x14ac:dyDescent="0.2">
      <c r="D433" s="296"/>
      <c r="E433" s="296"/>
      <c r="F433" s="296"/>
      <c r="G433" s="296"/>
      <c r="H433" s="296"/>
      <c r="I433" s="296"/>
      <c r="J433" s="296"/>
      <c r="K433" s="296"/>
      <c r="L433" s="296"/>
      <c r="M433" s="296"/>
      <c r="N433" s="296"/>
      <c r="O433" s="296"/>
      <c r="AC433" s="298"/>
      <c r="AD433" s="298"/>
      <c r="AE433" s="297"/>
      <c r="AF433" s="297"/>
      <c r="AG433" s="297"/>
      <c r="AH433" s="297"/>
      <c r="AI433" s="296"/>
      <c r="AJ433" s="296"/>
      <c r="AK433" s="296"/>
      <c r="AL433" s="296"/>
      <c r="AM433" s="296"/>
    </row>
    <row r="434" spans="4:39" s="295" customFormat="1" x14ac:dyDescent="0.2">
      <c r="D434" s="296" t="s">
        <v>251</v>
      </c>
      <c r="E434" s="296">
        <f>COUNT(E170:E188,E299:E313,E321:E332,E338:E359,E381:E383,E418:E424)</f>
        <v>78</v>
      </c>
      <c r="F434" s="296">
        <f>COUNT(F170:F188,F299:F313,F321:F332,F338:F359,F381:F383,F418:F424)</f>
        <v>78</v>
      </c>
      <c r="G434" s="296">
        <f>COUNT(G170:G188,G299:G313,G321:G332,G338:G359,G381:G383,G418:G424)</f>
        <v>78</v>
      </c>
      <c r="H434" s="296">
        <f>COUNT(H170:H188,H299:H313,H321:H332,H338:H359,H381:H383,H418:H424)</f>
        <v>78</v>
      </c>
      <c r="I434" s="296">
        <f>COUNT(I170:I188,I299:I313,I321:I331,I338:I359,I381:I383,I418:I424)</f>
        <v>76</v>
      </c>
      <c r="J434" s="296">
        <f>COUNT(J170:J188,J299:J313,J321:J331,J338:J359,J381:J383,J418:J424)</f>
        <v>76</v>
      </c>
      <c r="K434" s="296">
        <v>76</v>
      </c>
      <c r="L434" s="296">
        <v>78</v>
      </c>
      <c r="M434" s="296">
        <v>78</v>
      </c>
      <c r="N434" s="296">
        <v>78</v>
      </c>
      <c r="O434" s="296">
        <v>77</v>
      </c>
      <c r="AC434" s="296">
        <f>COUNT(AC170:AC188,AC299:AC313,AC321:AC332,AC338:AC359,AC381:AC383,AC418:AC424)</f>
        <v>78</v>
      </c>
      <c r="AD434" s="296">
        <f>COUNT(AD170:AD188,AD299:AD313,AD321:AD332,AD338:AD359,AD381:AD383,AD418:AD424)</f>
        <v>78</v>
      </c>
      <c r="AE434" s="296">
        <f>COUNT(AE170:AE188,AE299:AE313,AE321:AE332,AE338:AE359,AE381:AE383,AE418:AE424)</f>
        <v>78</v>
      </c>
      <c r="AF434" s="296">
        <f>COUNT(AF170:AF188,AF299:AF313,AF321:AF332,AF338:AF359,AF381:AF383,AF418:AF424)</f>
        <v>78</v>
      </c>
      <c r="AG434" s="296">
        <f>COUNT(AG170:AG188,AG299:AG313,AG321:AG331,AG338:AG359,AG381:AG383,AG418:AG424)</f>
        <v>77</v>
      </c>
      <c r="AH434" s="296">
        <f>COUNT(AH170:AH188,AH299:AH313,AH321:AH331,AH338:AH359,AH381:AH383,AH418:AH424)</f>
        <v>77</v>
      </c>
      <c r="AI434" s="296">
        <v>76</v>
      </c>
      <c r="AJ434" s="296">
        <v>78</v>
      </c>
      <c r="AK434" s="296">
        <v>78</v>
      </c>
      <c r="AL434" s="296">
        <v>78</v>
      </c>
      <c r="AM434" s="296">
        <v>78</v>
      </c>
    </row>
    <row r="435" spans="4:39" s="295" customFormat="1" x14ac:dyDescent="0.2">
      <c r="D435" s="296" t="s">
        <v>250</v>
      </c>
      <c r="E435" s="296">
        <f>MAX(E170:E188,E299:E313,E321:E332,E338:E359,E381:E383,E418:E424)</f>
        <v>5541</v>
      </c>
      <c r="F435" s="296">
        <f>MAX(F170:F188,F299:F313,F321:F332,F338:F359,F381:F383,F418:F424)</f>
        <v>5436</v>
      </c>
      <c r="G435" s="296">
        <f>MAX(G170:G188,G299:G313,G321:G332,G338:G359,G381:G383,G418:G424)</f>
        <v>5141</v>
      </c>
      <c r="H435" s="296">
        <f>MAX(H170:H188,H299:H313,H321:H332,H338:H359,H381:H383,H418:H424)</f>
        <v>4916</v>
      </c>
      <c r="I435" s="296">
        <f>MAX(I170:I188,I299:I313,I321:I331,I338:I359,I381:I383,I418:I424)</f>
        <v>4385</v>
      </c>
      <c r="J435" s="296">
        <f>MAX(J170:J188,J299:J313,J321:J331,J338:J359,J381:J383,J418:J424)</f>
        <v>4112</v>
      </c>
      <c r="K435" s="296">
        <v>3819</v>
      </c>
      <c r="L435" s="296">
        <v>3693</v>
      </c>
      <c r="M435" s="861">
        <v>3661</v>
      </c>
      <c r="N435" s="861">
        <v>3660</v>
      </c>
      <c r="O435" s="861">
        <v>3592</v>
      </c>
      <c r="AC435" s="296">
        <f>MAX(AC170:AC188,AC299:AC313,AC321:AJ332,AC338:AC359,AC381:AC383,AC418:AC424)</f>
        <v>19401</v>
      </c>
      <c r="AD435" s="296">
        <f>MAX(AD170:AD188,AD299:AD313,AD321:AK332,AD338:AD359,AD381:AD383,AD418:AD424)</f>
        <v>18849</v>
      </c>
      <c r="AE435" s="296">
        <f>MAX(AE170:AE188,AE299:AE313,AE321:AL332,AE338:AE359,AE381:AE383,AE418:AE424)</f>
        <v>17873.82</v>
      </c>
      <c r="AF435" s="296">
        <f>MAX(AF170:AF188,AF299:AF313,AF321:AM332,AF338:AF359,AF381:AF383,AF418:AF424)</f>
        <v>16204</v>
      </c>
      <c r="AG435" s="296">
        <f>MAX(AG170:AG188,AG299:AG313,AG321:AG331,AG338:AG359,AG381:AG383,AG418:AG424)</f>
        <v>15509</v>
      </c>
      <c r="AH435" s="296">
        <f>MAX(AH170:AH188,AH299:AH313,AH321:AH331,AH338:AH359,AH381:AH383,AH418:AH424)</f>
        <v>14605</v>
      </c>
      <c r="AI435" s="296">
        <v>13672</v>
      </c>
      <c r="AJ435" s="296">
        <v>13045</v>
      </c>
      <c r="AK435" s="861">
        <v>12256</v>
      </c>
      <c r="AL435" s="861">
        <v>12119</v>
      </c>
      <c r="AM435" s="861">
        <v>11288</v>
      </c>
    </row>
    <row r="436" spans="4:39" s="295" customFormat="1" x14ac:dyDescent="0.2">
      <c r="D436" s="296" t="s">
        <v>249</v>
      </c>
      <c r="E436" s="296">
        <f>MIN(E170:E188,E299:E313,E321:E332,E338:E359,E381:E383,E418:E424)</f>
        <v>968</v>
      </c>
      <c r="F436" s="296">
        <f>MIN(F170:F188,F299:F313,F321:F332,F338:F359,F381:F383,F418:F424)</f>
        <v>962</v>
      </c>
      <c r="G436" s="296">
        <f>MIN(G170:G188,G299:G313,G321:G332,G338:G359,G381:G383,G418:G424)</f>
        <v>962</v>
      </c>
      <c r="H436" s="296">
        <f>MIN(H170:H188,H299:H313,H321:H332,H338:H359,H381:H383,H418:H424)</f>
        <v>886</v>
      </c>
      <c r="I436" s="296">
        <f>MIN(I170:I188,I299:I313,I321:I331,I338:I359,I381:I383,I418:I424)</f>
        <v>886</v>
      </c>
      <c r="J436" s="296">
        <f>MIN(J170:J188,J299:J313,J321:J331,J338:J359,J381:J383,J418:J424)</f>
        <v>852</v>
      </c>
      <c r="K436" s="296">
        <v>812</v>
      </c>
      <c r="L436" s="296">
        <v>764</v>
      </c>
      <c r="M436" s="861">
        <v>704</v>
      </c>
      <c r="N436" s="861">
        <v>704</v>
      </c>
      <c r="O436" s="861">
        <v>668</v>
      </c>
      <c r="AC436" s="296">
        <f>MIN(AC170:AC188,AC299:AC313,AC321:AC332,AC338:AC359,AC381:AC383,AC418:AC424)</f>
        <v>2088</v>
      </c>
      <c r="AD436" s="296">
        <f>MIN(AD170:AD188,AD299:AD313,AD321:AD332,AD338:AD359,AD381:AD383,AD418:AD424)</f>
        <v>1968</v>
      </c>
      <c r="AE436" s="296">
        <f>MIN(AE170:AE188,AE299:AE313,AE321:AE332,AE338:AE359,AE381:AE383,AE418:AE424)</f>
        <v>1896</v>
      </c>
      <c r="AF436" s="296">
        <f>MIN(AF170:AF188,AF299:AF313,AF321:AF332,AF338:AF359,AF381:AF383,AF418:AF424)</f>
        <v>1896</v>
      </c>
      <c r="AG436" s="296">
        <f>MIN(AG170:AG188,AG299:AG313,AG321:AG331,AG338:AG359,AG381:AG383,AG418:AG424)</f>
        <v>1896</v>
      </c>
      <c r="AH436" s="296">
        <f>MIN(AH170:AH188,AH299:AH313,AH321:AH331,AH338:AH359,AH381:AH383,AH418:AH424)</f>
        <v>1524</v>
      </c>
      <c r="AI436" s="296">
        <v>1524</v>
      </c>
      <c r="AJ436" s="296">
        <v>1704</v>
      </c>
      <c r="AK436" s="861">
        <v>1600</v>
      </c>
      <c r="AL436" s="861">
        <v>960</v>
      </c>
      <c r="AM436" s="861">
        <v>960</v>
      </c>
    </row>
    <row r="437" spans="4:39" s="295" customFormat="1" x14ac:dyDescent="0.2">
      <c r="D437" s="296" t="s">
        <v>248</v>
      </c>
      <c r="E437" s="296">
        <f>AVERAGE(E170:E188,E299:E313,E321:E332,E338:E359,E381:E383,E418:E424)</f>
        <v>3146.7169230769227</v>
      </c>
      <c r="F437" s="296">
        <f>AVERAGE(F170:F188,F299:F313,F321:F332,F338:F359,F381:F383,F418:F424)</f>
        <v>3089.4333333333334</v>
      </c>
      <c r="G437" s="296">
        <f>AVERAGE(G170:G188,G299:G313,G321:G332,G338:G359,G381:G383,G418:G424)</f>
        <v>2968.3392307692302</v>
      </c>
      <c r="H437" s="296">
        <f>AVERAGE(H170:H188,H299:H313,H321:H332,H338:H359,H381:H383,H418:H424)</f>
        <v>2853.9871794871797</v>
      </c>
      <c r="I437" s="296">
        <f>AVERAGE(I170:I188,I299:I313,I321:I331,I338:I359,I381:I383,I418:I424)</f>
        <v>2628.3815789473683</v>
      </c>
      <c r="J437" s="296">
        <f>AVERAGE(J170:J188,J299:J313,J321:J331,J338:J359,J381:J383,J418:J424)</f>
        <v>2523.6710526315787</v>
      </c>
      <c r="K437" s="296">
        <v>2428</v>
      </c>
      <c r="L437" s="296">
        <v>2245</v>
      </c>
      <c r="M437" s="861">
        <v>2118</v>
      </c>
      <c r="N437" s="861">
        <v>2031</v>
      </c>
      <c r="O437" s="861">
        <v>1921</v>
      </c>
      <c r="AC437" s="296">
        <f>AVERAGE(AC170:AC188,AC299:AC313,AC321:AC332,AC338:AC359,AC381:AC383,AC418:AC424)</f>
        <v>9453.4233333333341</v>
      </c>
      <c r="AD437" s="296">
        <f>AVERAGE(AD170:AD188,AD299:AD313,AD321:AD332,AD338:AD359,AD381:AD383,AD418:AD424)</f>
        <v>9370.0128205128203</v>
      </c>
      <c r="AE437" s="296">
        <f>AVERAGE(AE170:AE188,AE299:AE313,AE321:AE332,AE338:AE359,AE381:AE383,AE418:AE424)</f>
        <v>9078.7661538461543</v>
      </c>
      <c r="AF437" s="296">
        <f>AVERAGE(AF170:AF188,AF299:AF313,AF321:AF332,AF338:AF359,AF381:AF383,AF418:AF424)</f>
        <v>8594.8974358974356</v>
      </c>
      <c r="AG437" s="296">
        <f>AVERAGE(AG170:AG188,AG299:AG313,AG321:AG331,AG338:AG359,AG381:AG383,AG418:AG424)</f>
        <v>8329.2337662337668</v>
      </c>
      <c r="AH437" s="296">
        <f>AVERAGE(AH170:AH188,AH299:AH313,AH321:AH331,AH338:AH359,AH381:AH383,AH418:AH424)</f>
        <v>8107.0649350649346</v>
      </c>
      <c r="AI437" s="296">
        <v>7766</v>
      </c>
      <c r="AJ437" s="296">
        <v>7348</v>
      </c>
      <c r="AK437" s="861">
        <v>7018</v>
      </c>
      <c r="AL437" s="861">
        <v>6663</v>
      </c>
      <c r="AM437" s="861">
        <v>6754</v>
      </c>
    </row>
    <row r="438" spans="4:39" s="295" customFormat="1" ht="12.75" hidden="1" customHeight="1" x14ac:dyDescent="0.2">
      <c r="D438" s="296" t="s">
        <v>247</v>
      </c>
      <c r="E438" s="296">
        <f>RANK(E381,(E170:E188,E299:E313,E321:E331,E338:E359,E381:E383,E418:E424))</f>
        <v>64</v>
      </c>
      <c r="F438" s="296">
        <f>RANK(F381,(F170:F188,F299:F313,F321:F331,F338:F359,F381:F383,F418:F424))</f>
        <v>21</v>
      </c>
      <c r="G438" s="296">
        <f>RANK(G381,(G170:G188,G299:G313,G321:G331,G338:G359,G381:G383,G418:G424))</f>
        <v>22</v>
      </c>
      <c r="H438" s="296">
        <f>RANK(H381,(H170:H188,H299:H313,H321:H331,H338:H359,H381:H383,H418:H424))</f>
        <v>23</v>
      </c>
      <c r="I438" s="296">
        <f>RANK(I381,(I170:I188,I299:I313,I321:I331,I338:I359,I381:I383,I418:I424))</f>
        <v>21</v>
      </c>
      <c r="J438" s="296">
        <f>RANK(J381,(J170:J188,J299:J313,J321:J331,J338:J359,J381:J383,J418:J424))</f>
        <v>24</v>
      </c>
      <c r="K438" s="296">
        <v>24</v>
      </c>
      <c r="L438" s="296">
        <v>25</v>
      </c>
      <c r="M438" s="296">
        <v>27</v>
      </c>
      <c r="N438" s="296">
        <v>27</v>
      </c>
      <c r="O438" s="296">
        <v>26</v>
      </c>
      <c r="AC438" s="296">
        <f>RANK(AC381,(AC170:AC188,AC299:AC313,AC321:AC331,AC338:AC359,AC381:AC383,AC418:AC424))</f>
        <v>61</v>
      </c>
      <c r="AD438" s="296">
        <f>RANK(AD381,(AD170:AD188,AD299:AD313,AD321:AD331,AD338:AD359,AD381:AD383,AD418:AD424))</f>
        <v>61</v>
      </c>
      <c r="AE438" s="296">
        <f>RANK(AE381,(AE170:AE188,AE299:AE313,AE321:AE331,AE338:AE359,AE381:AE383,AE418:AE424))</f>
        <v>61</v>
      </c>
      <c r="AF438" s="296">
        <f>RANK(AF381,(AF170:AF188,AF299:AF313,AF321:AF331,AF338:AF359,AF381:AF383,AF418:AF424))</f>
        <v>59</v>
      </c>
      <c r="AG438" s="296">
        <f>RANK(AG381,(AG170:AG188,AG299:AG313,AG321:AG331,AG338:AG359,AG381:AG383,AG418:AG424))</f>
        <v>61</v>
      </c>
      <c r="AH438" s="296">
        <f>RANK(AH381,(AH170:AH188,AH299:AH313,AH321:AH331,AH338:AH359,AH381:AH383,AH418:AH424))</f>
        <v>61</v>
      </c>
      <c r="AI438" s="296">
        <v>61</v>
      </c>
      <c r="AJ438" s="296">
        <v>61</v>
      </c>
      <c r="AK438" s="296">
        <v>61</v>
      </c>
      <c r="AL438" s="296">
        <v>61</v>
      </c>
      <c r="AM438" s="296">
        <v>30</v>
      </c>
    </row>
    <row r="439" spans="4:39" s="295" customFormat="1" x14ac:dyDescent="0.2">
      <c r="D439" s="296" t="s">
        <v>246</v>
      </c>
      <c r="E439" s="296">
        <f>RANK(E382,(E170:E188,E299:E313,E321:E332,E338:E359,E381:E383,E418:E424))</f>
        <v>21</v>
      </c>
      <c r="F439" s="296">
        <f>RANK(F382,(F170:F188,F299:F313,F321:F332,F338:F359,F381:F383,F418:F424))</f>
        <v>20</v>
      </c>
      <c r="G439" s="296">
        <f>RANK(G382,(G170:G188,G299:G313,G321:G332,G338:G359,G381:G383,G418:G424))</f>
        <v>20</v>
      </c>
      <c r="H439" s="296">
        <f>RANK(H382,(H170:H188,H299:H313,H321:H332,H338:H359,H381:H383,H418:H424))</f>
        <v>21</v>
      </c>
      <c r="I439" s="296">
        <f>RANK(I382,(I170:I188,I299:I313,I321:I331,I338:I359,I381:I383,I418:I424))</f>
        <v>19</v>
      </c>
      <c r="J439" s="296">
        <f>RANK(J382,(J170:J188,J299:J313,J321:J331,J338:J359,J381:J383,J418:J424))</f>
        <v>19</v>
      </c>
      <c r="K439" s="296">
        <v>23</v>
      </c>
      <c r="L439" s="296">
        <v>21</v>
      </c>
      <c r="M439" s="296">
        <v>23</v>
      </c>
      <c r="N439" s="296">
        <v>24</v>
      </c>
      <c r="O439" s="296">
        <v>24</v>
      </c>
      <c r="AC439" s="296">
        <f>RANK(AC382,(AC170:AC188,AC299:AC313,AC321:AC332,AC338:AC359,AC381:AC383,AC418:AC424))</f>
        <v>13</v>
      </c>
      <c r="AD439" s="296">
        <f>RANK(AD382,(AD170:AD188,AD299:AD313,AD321:AD332,AD338:AD359,AD381:AD383,AD418:AD424))</f>
        <v>13</v>
      </c>
      <c r="AE439" s="296">
        <f>RANK(AE382,(AE170:AE188,AE299:AE313,AE321:AE332,AE338:AE359,AE381:AE383,AE418:AE424))</f>
        <v>13</v>
      </c>
      <c r="AF439" s="296">
        <f>RANK(AF382,(AF170:AF188,AF299:AF313,AF321:AF332,AF338:AF359,AF381:AF383,AF418:AF424))</f>
        <v>12</v>
      </c>
      <c r="AG439" s="296">
        <f>RANK(AG382,(AG170:AG188,AG299:AG313,AG321:AG331,AG338:AG359,AG381:AG383,AG418:AG424))</f>
        <v>15</v>
      </c>
      <c r="AH439" s="296">
        <f>RANK(AH382,(AH170:AH188,AH299:AH313,AH321:AH331,AH338:AH359,AH381:AH383,AH418:AH424))</f>
        <v>15</v>
      </c>
      <c r="AI439" s="296">
        <v>13</v>
      </c>
      <c r="AJ439" s="296">
        <v>25</v>
      </c>
      <c r="AK439" s="296">
        <v>25</v>
      </c>
      <c r="AL439" s="296">
        <v>25</v>
      </c>
      <c r="AM439" s="296">
        <v>31</v>
      </c>
    </row>
    <row r="440" spans="4:39" s="295" customFormat="1" x14ac:dyDescent="0.2">
      <c r="D440" s="296" t="s">
        <v>245</v>
      </c>
      <c r="E440" s="296">
        <f>RANK(E383,(E170:E188,E299:E313,E321:E332,E338:E359,E381:E383,E418:E424))</f>
        <v>23</v>
      </c>
      <c r="F440" s="296">
        <f>RANK(F383,(F170:F188,F299:F313,F321:F332,F338:F359,F381:F383,F418:F424))</f>
        <v>24</v>
      </c>
      <c r="G440" s="296">
        <f>RANK(G383,(G170:G188,G299:G313,G321:G332,G338:G359,G381:G383,G418:G424))</f>
        <v>23</v>
      </c>
      <c r="H440" s="296">
        <f>RANK(H383,(H170:H188,H299:H313,H321:H332,H338:H359,H381:H383,H418:H424))</f>
        <v>24</v>
      </c>
      <c r="I440" s="296">
        <f>RANK(I383,(I170:I188,I299:I313,I321:I331,I338:I359,I381:I383,I418:I424))</f>
        <v>22</v>
      </c>
      <c r="J440" s="296">
        <f>RANK(J383,(J170:J188,J299:J313,J321:J331,J338:J359,J381:J383,J418:J424))</f>
        <v>21</v>
      </c>
      <c r="K440" s="296">
        <v>25</v>
      </c>
      <c r="L440" s="296">
        <v>24</v>
      </c>
      <c r="M440" s="296">
        <v>21</v>
      </c>
      <c r="N440" s="296">
        <v>1</v>
      </c>
      <c r="O440" s="296">
        <v>11</v>
      </c>
      <c r="AC440" s="296">
        <f>RANK(AC383,(AC170:AC188,AC299:AC313,AC321:AC332,AC338:AC359,AC381:AC383,AC418:AC424))</f>
        <v>12</v>
      </c>
      <c r="AD440" s="296">
        <f>RANK(AD383,(AD170:AD188,AD299:AD313,AD321:AD332,AD338:AD359,AD381:AD383,AD418:AD424))</f>
        <v>12</v>
      </c>
      <c r="AE440" s="296">
        <f>RANK(AE383,(AE170:AE188,AE299:AE313,AE321:AE332,AE338:AE359,AE381:AE383,AE418:AE424))</f>
        <v>12</v>
      </c>
      <c r="AF440" s="296">
        <f>RANK(AF383,(AF170:AF188,AF299:AF313,AF321:AF332,AF338:AF359,AF381:AF383,AF418:AF424))</f>
        <v>11</v>
      </c>
      <c r="AG440" s="296">
        <f>RANK(AG383,(AG170:AG188,AG299:AG313,AG321:AG331,AG338:AG359,AG381:AG383,AG418:AG424))</f>
        <v>14</v>
      </c>
      <c r="AH440" s="296">
        <f>RANK(AH383,(AH170:AH188,AH299:AH313,AH321:AH331,AH338:AH359,AH381:AH383,AH418:AH424))</f>
        <v>14</v>
      </c>
      <c r="AI440" s="296">
        <v>15</v>
      </c>
      <c r="AJ440" s="296">
        <v>26</v>
      </c>
      <c r="AK440" s="296">
        <v>27</v>
      </c>
      <c r="AL440" s="296">
        <v>27</v>
      </c>
      <c r="AM440" s="296">
        <v>33</v>
      </c>
    </row>
  </sheetData>
  <mergeCells count="24">
    <mergeCell ref="E7:F7"/>
    <mergeCell ref="Q7:R7"/>
    <mergeCell ref="AC7:AD7"/>
    <mergeCell ref="AO7:AP7"/>
    <mergeCell ref="E44:F44"/>
    <mergeCell ref="Q44:R44"/>
    <mergeCell ref="AC44:AD44"/>
    <mergeCell ref="AO44:AY44"/>
    <mergeCell ref="AO125:AY125"/>
    <mergeCell ref="E167:F167"/>
    <mergeCell ref="S167:AA167"/>
    <mergeCell ref="AC167:AD167"/>
    <mergeCell ref="E74:F74"/>
    <mergeCell ref="Q74:R74"/>
    <mergeCell ref="AC74:AD74"/>
    <mergeCell ref="E125:F125"/>
    <mergeCell ref="Q125:R125"/>
    <mergeCell ref="S125:AA125"/>
    <mergeCell ref="AC125:AD125"/>
    <mergeCell ref="AO74:AY74"/>
    <mergeCell ref="E103:F103"/>
    <mergeCell ref="Q103:R103"/>
    <mergeCell ref="AC103:AD103"/>
    <mergeCell ref="AO103:AY103"/>
  </mergeCells>
  <pageMargins left="0.75" right="0.75" top="1" bottom="1" header="0.5" footer="0.5"/>
  <pageSetup orientation="portrait" horizontalDpi="4294967294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showGridLines="0" tabSelected="1" view="pageBreakPreview" zoomScaleNormal="100" zoomScaleSheetLayoutView="100" workbookViewId="0"/>
  </sheetViews>
  <sheetFormatPr defaultColWidth="9.140625" defaultRowHeight="16.5" x14ac:dyDescent="0.3"/>
  <cols>
    <col min="1" max="1" width="2.42578125" style="343" customWidth="1"/>
    <col min="2" max="2" width="18" style="343" customWidth="1"/>
    <col min="3" max="3" width="13.7109375" style="343" customWidth="1"/>
    <col min="4" max="4" width="20.140625" style="346" customWidth="1"/>
    <col min="5" max="5" width="13.7109375" style="346" customWidth="1"/>
    <col min="6" max="6" width="16.7109375" style="346" customWidth="1"/>
    <col min="7" max="7" width="20.5703125" style="350" customWidth="1"/>
    <col min="8" max="8" width="1.7109375" style="343" customWidth="1"/>
    <col min="9" max="10" width="9.140625" style="343" customWidth="1"/>
    <col min="11" max="16384" width="9.140625" style="343"/>
  </cols>
  <sheetData>
    <row r="1" spans="1:9" ht="39.950000000000003" customHeight="1" thickBot="1" x14ac:dyDescent="0.35">
      <c r="A1" s="340" t="s">
        <v>0</v>
      </c>
      <c r="B1" s="340"/>
      <c r="C1" s="340"/>
      <c r="D1" s="341"/>
      <c r="E1" s="341"/>
      <c r="F1" s="341"/>
      <c r="G1" s="342"/>
    </row>
    <row r="2" spans="1:9" x14ac:dyDescent="0.3">
      <c r="A2" s="344" t="s">
        <v>1001</v>
      </c>
      <c r="B2" s="344"/>
      <c r="C2" s="345"/>
      <c r="F2" s="347" t="s">
        <v>899</v>
      </c>
      <c r="G2" s="355" t="str">
        <f>Instructions!E33</f>
        <v>March 15, 2019</v>
      </c>
      <c r="I2" s="865"/>
    </row>
    <row r="3" spans="1:9" ht="6" customHeight="1" x14ac:dyDescent="0.3"/>
    <row r="4" spans="1:9" x14ac:dyDescent="0.3">
      <c r="B4" s="876" t="s">
        <v>924</v>
      </c>
      <c r="C4" s="871"/>
      <c r="D4" s="347" t="s">
        <v>926</v>
      </c>
      <c r="E4" s="871"/>
      <c r="F4" s="347" t="s">
        <v>630</v>
      </c>
      <c r="G4" s="348"/>
    </row>
    <row r="5" spans="1:9" ht="6" customHeight="1" x14ac:dyDescent="0.3">
      <c r="B5" s="877"/>
      <c r="C5" s="873"/>
      <c r="D5" s="877"/>
      <c r="E5" s="872"/>
      <c r="F5" s="351"/>
    </row>
    <row r="6" spans="1:9" ht="16.5" customHeight="1" x14ac:dyDescent="0.3">
      <c r="B6" s="347" t="s">
        <v>925</v>
      </c>
      <c r="C6" s="871"/>
      <c r="D6" s="347" t="s">
        <v>927</v>
      </c>
      <c r="E6" s="871"/>
      <c r="F6" s="347" t="s">
        <v>898</v>
      </c>
      <c r="G6" s="348"/>
      <c r="I6" s="865"/>
    </row>
    <row r="7" spans="1:9" ht="16.5" customHeight="1" x14ac:dyDescent="0.3">
      <c r="B7" s="352"/>
      <c r="C7" s="352"/>
      <c r="D7" s="353"/>
      <c r="E7" s="353"/>
    </row>
    <row r="8" spans="1:9" ht="15" customHeight="1" x14ac:dyDescent="0.3">
      <c r="A8" s="973" t="s">
        <v>903</v>
      </c>
      <c r="B8" s="973"/>
      <c r="C8" s="886"/>
      <c r="D8" s="896" t="s">
        <v>900</v>
      </c>
      <c r="E8" s="896"/>
      <c r="F8" s="880"/>
      <c r="G8" s="880"/>
    </row>
    <row r="9" spans="1:9" ht="12.75" customHeight="1" x14ac:dyDescent="0.3">
      <c r="A9" s="974"/>
      <c r="B9" s="974"/>
      <c r="C9" s="887"/>
      <c r="D9" s="898"/>
      <c r="E9" s="897"/>
      <c r="F9" s="878"/>
      <c r="G9" s="879"/>
      <c r="I9" s="865"/>
    </row>
    <row r="10" spans="1:9" ht="12.75" customHeight="1" x14ac:dyDescent="0.3">
      <c r="B10" s="352"/>
      <c r="C10" s="352"/>
      <c r="D10" s="353"/>
      <c r="E10" s="353"/>
      <c r="F10" s="351"/>
      <c r="G10" s="356"/>
    </row>
    <row r="11" spans="1:9" ht="12.75" customHeight="1" x14ac:dyDescent="0.3">
      <c r="B11" s="352"/>
      <c r="C11" s="352"/>
      <c r="D11" s="353"/>
      <c r="E11" s="353"/>
      <c r="F11" s="351"/>
      <c r="G11" s="356"/>
    </row>
    <row r="12" spans="1:9" ht="15.95" customHeight="1" x14ac:dyDescent="0.3">
      <c r="A12" s="991" t="s">
        <v>1006</v>
      </c>
      <c r="B12" s="992"/>
      <c r="C12" s="992"/>
      <c r="D12" s="992"/>
      <c r="E12" s="992"/>
      <c r="F12" s="992"/>
      <c r="G12" s="993"/>
    </row>
    <row r="13" spans="1:9" ht="12.75" customHeight="1" x14ac:dyDescent="0.3">
      <c r="A13" s="985" t="s">
        <v>1003</v>
      </c>
      <c r="B13" s="986"/>
      <c r="C13" s="986"/>
      <c r="D13" s="987"/>
      <c r="E13" s="1019" t="s">
        <v>928</v>
      </c>
      <c r="F13" s="988" t="s">
        <v>932</v>
      </c>
      <c r="G13" s="990"/>
      <c r="I13" s="865"/>
    </row>
    <row r="14" spans="1:9" ht="12.75" customHeight="1" x14ac:dyDescent="0.3">
      <c r="A14" s="988"/>
      <c r="B14" s="989"/>
      <c r="C14" s="989"/>
      <c r="D14" s="990"/>
      <c r="E14" s="981"/>
      <c r="F14" s="954" t="s">
        <v>929</v>
      </c>
      <c r="G14" s="954" t="s">
        <v>643</v>
      </c>
      <c r="I14" s="865"/>
    </row>
    <row r="15" spans="1:9" ht="12.75" customHeight="1" x14ac:dyDescent="0.3">
      <c r="A15" s="994"/>
      <c r="B15" s="995"/>
      <c r="C15" s="995"/>
      <c r="D15" s="996"/>
      <c r="E15" s="940"/>
      <c r="F15" s="940"/>
      <c r="G15" s="959">
        <f t="shared" ref="G15:G20" si="0">IF($D$9,E15/$D$9,0)</f>
        <v>0</v>
      </c>
    </row>
    <row r="16" spans="1:9" ht="12.75" customHeight="1" x14ac:dyDescent="0.3">
      <c r="A16" s="982"/>
      <c r="B16" s="982"/>
      <c r="C16" s="982"/>
      <c r="D16" s="982"/>
      <c r="E16" s="940"/>
      <c r="F16" s="940"/>
      <c r="G16" s="959">
        <f t="shared" si="0"/>
        <v>0</v>
      </c>
    </row>
    <row r="17" spans="1:12" ht="12.75" customHeight="1" x14ac:dyDescent="0.3">
      <c r="A17" s="982"/>
      <c r="B17" s="982"/>
      <c r="C17" s="982"/>
      <c r="D17" s="982"/>
      <c r="E17" s="940"/>
      <c r="F17" s="940"/>
      <c r="G17" s="959">
        <f t="shared" si="0"/>
        <v>0</v>
      </c>
    </row>
    <row r="18" spans="1:12" ht="12.75" customHeight="1" x14ac:dyDescent="0.3">
      <c r="A18" s="982"/>
      <c r="B18" s="982"/>
      <c r="C18" s="982"/>
      <c r="D18" s="982"/>
      <c r="E18" s="940"/>
      <c r="F18" s="940"/>
      <c r="G18" s="959">
        <f t="shared" si="0"/>
        <v>0</v>
      </c>
    </row>
    <row r="19" spans="1:12" ht="12.75" customHeight="1" x14ac:dyDescent="0.3">
      <c r="A19" s="982"/>
      <c r="B19" s="982"/>
      <c r="C19" s="982"/>
      <c r="D19" s="982"/>
      <c r="E19" s="940"/>
      <c r="F19" s="940"/>
      <c r="G19" s="959">
        <f t="shared" si="0"/>
        <v>0</v>
      </c>
    </row>
    <row r="20" spans="1:12" ht="12.75" customHeight="1" x14ac:dyDescent="0.3">
      <c r="A20" s="982"/>
      <c r="B20" s="982"/>
      <c r="C20" s="982"/>
      <c r="D20" s="982"/>
      <c r="E20" s="940"/>
      <c r="F20" s="940"/>
      <c r="G20" s="959">
        <f t="shared" si="0"/>
        <v>0</v>
      </c>
    </row>
    <row r="21" spans="1:12" ht="12.75" customHeight="1" x14ac:dyDescent="0.3">
      <c r="A21" s="1025" t="s">
        <v>751</v>
      </c>
      <c r="B21" s="1026"/>
      <c r="C21" s="1026"/>
      <c r="D21" s="1027"/>
      <c r="E21" s="958">
        <f>SUM(E15:E20)</f>
        <v>0</v>
      </c>
      <c r="F21" s="958">
        <f t="shared" ref="F21" si="1">SUM(F15:F20)</f>
        <v>0</v>
      </c>
      <c r="G21" s="960">
        <f>SUM(G15:G20)</f>
        <v>0</v>
      </c>
    </row>
    <row r="22" spans="1:12" ht="12.75" customHeight="1" x14ac:dyDescent="0.3">
      <c r="A22" s="1028" t="s">
        <v>1011</v>
      </c>
      <c r="B22" s="1028"/>
      <c r="C22" s="1028"/>
      <c r="D22" s="1028"/>
      <c r="E22" s="1028"/>
      <c r="F22" s="1028"/>
      <c r="G22" s="1028"/>
    </row>
    <row r="23" spans="1:12" ht="65.099999999999994" customHeight="1" x14ac:dyDescent="0.3">
      <c r="A23" s="1001"/>
      <c r="B23" s="1002"/>
      <c r="C23" s="1002"/>
      <c r="D23" s="1002"/>
      <c r="E23" s="1002"/>
      <c r="F23" s="1002"/>
      <c r="G23" s="1003"/>
    </row>
    <row r="24" spans="1:12" ht="12.75" customHeight="1" x14ac:dyDescent="0.3">
      <c r="A24" s="955"/>
      <c r="B24" s="956"/>
      <c r="C24" s="956"/>
      <c r="D24" s="956"/>
      <c r="E24" s="956"/>
      <c r="F24" s="956"/>
      <c r="G24" s="956"/>
    </row>
    <row r="25" spans="1:12" ht="12.75" customHeight="1" x14ac:dyDescent="0.3">
      <c r="A25" s="955"/>
      <c r="B25" s="956"/>
      <c r="C25" s="956"/>
      <c r="D25" s="956"/>
      <c r="E25" s="956"/>
      <c r="F25" s="956"/>
      <c r="G25" s="956"/>
    </row>
    <row r="26" spans="1:12" ht="15.95" customHeight="1" x14ac:dyDescent="0.3">
      <c r="A26" s="1020" t="s">
        <v>1004</v>
      </c>
      <c r="B26" s="1021"/>
      <c r="C26" s="1021"/>
      <c r="D26" s="1021"/>
      <c r="E26" s="1021"/>
      <c r="F26" s="1021"/>
      <c r="G26" s="1022"/>
    </row>
    <row r="27" spans="1:12" ht="12.75" customHeight="1" x14ac:dyDescent="0.3">
      <c r="A27" s="1023" t="s">
        <v>1000</v>
      </c>
      <c r="B27" s="1023"/>
      <c r="C27" s="1023"/>
      <c r="D27" s="1023"/>
      <c r="E27" s="980" t="s">
        <v>928</v>
      </c>
      <c r="F27" s="978" t="s">
        <v>932</v>
      </c>
      <c r="G27" s="979"/>
      <c r="I27" s="865"/>
    </row>
    <row r="28" spans="1:12" ht="12.75" customHeight="1" x14ac:dyDescent="0.3">
      <c r="A28" s="1023"/>
      <c r="B28" s="1023"/>
      <c r="C28" s="1023"/>
      <c r="D28" s="1023"/>
      <c r="E28" s="981"/>
      <c r="F28" s="954" t="s">
        <v>929</v>
      </c>
      <c r="G28" s="954" t="s">
        <v>643</v>
      </c>
      <c r="I28" s="865"/>
    </row>
    <row r="29" spans="1:12" ht="12.75" customHeight="1" x14ac:dyDescent="0.3">
      <c r="A29" s="1023"/>
      <c r="B29" s="1023"/>
      <c r="C29" s="1023"/>
      <c r="D29" s="1023"/>
      <c r="E29" s="952">
        <v>0</v>
      </c>
      <c r="F29" s="952">
        <v>0</v>
      </c>
      <c r="G29" s="961">
        <f>IF($D$9,E29/$D$9,0)</f>
        <v>0</v>
      </c>
    </row>
    <row r="30" spans="1:12" ht="12.75" customHeight="1" x14ac:dyDescent="0.3">
      <c r="A30" s="998" t="s">
        <v>1011</v>
      </c>
      <c r="B30" s="999"/>
      <c r="C30" s="999"/>
      <c r="D30" s="999"/>
      <c r="E30" s="999"/>
      <c r="F30" s="999"/>
      <c r="G30" s="1000"/>
    </row>
    <row r="31" spans="1:12" ht="65.099999999999994" customHeight="1" x14ac:dyDescent="0.3">
      <c r="A31" s="1001"/>
      <c r="B31" s="1002"/>
      <c r="C31" s="1002"/>
      <c r="D31" s="1002"/>
      <c r="E31" s="1002"/>
      <c r="F31" s="1002"/>
      <c r="G31" s="1003"/>
      <c r="K31" s="957"/>
      <c r="L31" s="957"/>
    </row>
    <row r="32" spans="1:12" ht="12.75" customHeight="1" x14ac:dyDescent="0.3">
      <c r="K32" s="957"/>
      <c r="L32" s="957"/>
    </row>
    <row r="33" spans="1:12" ht="12.75" customHeight="1" x14ac:dyDescent="0.3">
      <c r="K33" s="957"/>
      <c r="L33" s="957"/>
    </row>
    <row r="34" spans="1:12" ht="15.95" customHeight="1" x14ac:dyDescent="0.3">
      <c r="A34" s="1004" t="s">
        <v>1005</v>
      </c>
      <c r="B34" s="1005"/>
      <c r="C34" s="1005"/>
      <c r="D34" s="1005"/>
      <c r="E34" s="1005"/>
      <c r="F34" s="1005"/>
      <c r="G34" s="1006"/>
      <c r="K34" s="957"/>
      <c r="L34" s="957"/>
    </row>
    <row r="35" spans="1:12" ht="12.75" customHeight="1" x14ac:dyDescent="0.3">
      <c r="A35" s="1030" t="s">
        <v>1003</v>
      </c>
      <c r="B35" s="1031"/>
      <c r="C35" s="1031"/>
      <c r="D35" s="1032"/>
      <c r="E35" s="980" t="s">
        <v>928</v>
      </c>
      <c r="F35" s="978" t="s">
        <v>932</v>
      </c>
      <c r="G35" s="979"/>
      <c r="I35" s="865"/>
      <c r="K35" s="1029"/>
      <c r="L35" s="1029"/>
    </row>
    <row r="36" spans="1:12" ht="12.75" customHeight="1" x14ac:dyDescent="0.3">
      <c r="A36" s="1033"/>
      <c r="B36" s="1034"/>
      <c r="C36" s="1034"/>
      <c r="D36" s="1035"/>
      <c r="E36" s="981"/>
      <c r="F36" s="954" t="s">
        <v>929</v>
      </c>
      <c r="G36" s="954" t="s">
        <v>643</v>
      </c>
      <c r="I36" s="865"/>
    </row>
    <row r="37" spans="1:12" ht="12.75" customHeight="1" x14ac:dyDescent="0.3">
      <c r="A37" s="982"/>
      <c r="B37" s="982"/>
      <c r="C37" s="982"/>
      <c r="D37" s="982"/>
      <c r="E37" s="940"/>
      <c r="F37" s="940"/>
      <c r="G37" s="959">
        <f>IF($D$9,E37/$D$9,0)</f>
        <v>0</v>
      </c>
    </row>
    <row r="38" spans="1:12" ht="12.75" customHeight="1" x14ac:dyDescent="0.3">
      <c r="A38" s="982"/>
      <c r="B38" s="982"/>
      <c r="C38" s="982"/>
      <c r="D38" s="982"/>
      <c r="E38" s="940"/>
      <c r="F38" s="940"/>
      <c r="G38" s="959">
        <f t="shared" ref="G38:G39" si="2">IF($D$9,E38/$D$9,0)</f>
        <v>0</v>
      </c>
    </row>
    <row r="39" spans="1:12" ht="12.75" customHeight="1" x14ac:dyDescent="0.3">
      <c r="A39" s="982"/>
      <c r="B39" s="982"/>
      <c r="C39" s="982"/>
      <c r="D39" s="982"/>
      <c r="E39" s="940"/>
      <c r="F39" s="940"/>
      <c r="G39" s="959">
        <f t="shared" si="2"/>
        <v>0</v>
      </c>
    </row>
    <row r="40" spans="1:12" ht="12.75" customHeight="1" x14ac:dyDescent="0.3">
      <c r="A40" s="1024" t="s">
        <v>751</v>
      </c>
      <c r="B40" s="1024"/>
      <c r="C40" s="1024"/>
      <c r="D40" s="1024"/>
      <c r="E40" s="952">
        <f>SUM(E37:E39)</f>
        <v>0</v>
      </c>
      <c r="F40" s="952">
        <f t="shared" ref="F40" si="3">SUM(F37:F39)</f>
        <v>0</v>
      </c>
      <c r="G40" s="962">
        <f>SUM(G37:G39)</f>
        <v>0</v>
      </c>
    </row>
    <row r="41" spans="1:12" ht="12.75" customHeight="1" x14ac:dyDescent="0.3">
      <c r="A41" s="1007" t="s">
        <v>1011</v>
      </c>
      <c r="B41" s="1008"/>
      <c r="C41" s="1008"/>
      <c r="D41" s="1008"/>
      <c r="E41" s="1008"/>
      <c r="F41" s="1008"/>
      <c r="G41" s="1009"/>
    </row>
    <row r="42" spans="1:12" ht="65.099999999999994" customHeight="1" x14ac:dyDescent="0.3">
      <c r="A42" s="1001"/>
      <c r="B42" s="1002"/>
      <c r="C42" s="1002"/>
      <c r="D42" s="1002"/>
      <c r="E42" s="1002"/>
      <c r="F42" s="1002"/>
      <c r="G42" s="1003"/>
    </row>
    <row r="43" spans="1:12" ht="12.75" customHeight="1" x14ac:dyDescent="0.3"/>
    <row r="44" spans="1:12" ht="12.75" customHeight="1" x14ac:dyDescent="0.3"/>
    <row r="45" spans="1:12" ht="15.95" customHeight="1" x14ac:dyDescent="0.3">
      <c r="A45" s="1004" t="s">
        <v>1002</v>
      </c>
      <c r="B45" s="1005"/>
      <c r="C45" s="1005"/>
      <c r="D45" s="1005"/>
      <c r="E45" s="1005"/>
      <c r="F45" s="1005"/>
      <c r="G45" s="1006"/>
    </row>
    <row r="46" spans="1:12" ht="12.75" customHeight="1" x14ac:dyDescent="0.3">
      <c r="A46" s="1010" t="s">
        <v>1003</v>
      </c>
      <c r="B46" s="1011"/>
      <c r="C46" s="1011"/>
      <c r="D46" s="1012"/>
      <c r="E46" s="980" t="s">
        <v>928</v>
      </c>
      <c r="F46" s="978" t="s">
        <v>932</v>
      </c>
      <c r="G46" s="979"/>
      <c r="I46" s="865"/>
    </row>
    <row r="47" spans="1:12" ht="12.75" customHeight="1" x14ac:dyDescent="0.3">
      <c r="A47" s="1013"/>
      <c r="B47" s="1014"/>
      <c r="C47" s="1014"/>
      <c r="D47" s="1015"/>
      <c r="E47" s="981"/>
      <c r="F47" s="954" t="s">
        <v>929</v>
      </c>
      <c r="G47" s="954" t="s">
        <v>643</v>
      </c>
      <c r="I47" s="865"/>
    </row>
    <row r="48" spans="1:12" ht="12.75" customHeight="1" x14ac:dyDescent="0.3">
      <c r="A48" s="982"/>
      <c r="B48" s="982"/>
      <c r="C48" s="982"/>
      <c r="D48" s="982"/>
      <c r="E48" s="940"/>
      <c r="F48" s="940"/>
      <c r="G48" s="959">
        <f t="shared" ref="G48:G53" si="4">IF($D$9,E48/$D$9,0)</f>
        <v>0</v>
      </c>
    </row>
    <row r="49" spans="1:7" ht="12.75" customHeight="1" x14ac:dyDescent="0.3">
      <c r="A49" s="982"/>
      <c r="B49" s="982"/>
      <c r="C49" s="982"/>
      <c r="D49" s="982"/>
      <c r="E49" s="940"/>
      <c r="F49" s="940"/>
      <c r="G49" s="959">
        <f t="shared" si="4"/>
        <v>0</v>
      </c>
    </row>
    <row r="50" spans="1:7" ht="12.75" customHeight="1" x14ac:dyDescent="0.3">
      <c r="A50" s="982"/>
      <c r="B50" s="982"/>
      <c r="C50" s="982"/>
      <c r="D50" s="982"/>
      <c r="E50" s="940"/>
      <c r="F50" s="940"/>
      <c r="G50" s="959">
        <f t="shared" si="4"/>
        <v>0</v>
      </c>
    </row>
    <row r="51" spans="1:7" ht="12.75" customHeight="1" x14ac:dyDescent="0.3">
      <c r="A51" s="982"/>
      <c r="B51" s="982"/>
      <c r="C51" s="982"/>
      <c r="D51" s="982"/>
      <c r="E51" s="940"/>
      <c r="F51" s="940"/>
      <c r="G51" s="959">
        <f t="shared" si="4"/>
        <v>0</v>
      </c>
    </row>
    <row r="52" spans="1:7" ht="12.75" customHeight="1" x14ac:dyDescent="0.3">
      <c r="A52" s="982"/>
      <c r="B52" s="982"/>
      <c r="C52" s="982"/>
      <c r="D52" s="982"/>
      <c r="E52" s="940"/>
      <c r="F52" s="940"/>
      <c r="G52" s="959">
        <f t="shared" si="4"/>
        <v>0</v>
      </c>
    </row>
    <row r="53" spans="1:7" ht="12.75" customHeight="1" x14ac:dyDescent="0.3">
      <c r="A53" s="982"/>
      <c r="B53" s="982"/>
      <c r="C53" s="982"/>
      <c r="D53" s="982"/>
      <c r="E53" s="940"/>
      <c r="F53" s="940"/>
      <c r="G53" s="959">
        <f t="shared" si="4"/>
        <v>0</v>
      </c>
    </row>
    <row r="54" spans="1:7" ht="12.75" customHeight="1" x14ac:dyDescent="0.3">
      <c r="A54" s="1016" t="s">
        <v>751</v>
      </c>
      <c r="B54" s="1017"/>
      <c r="C54" s="1017"/>
      <c r="D54" s="1018"/>
      <c r="E54" s="952">
        <f>SUM(E48:E53)</f>
        <v>0</v>
      </c>
      <c r="F54" s="952">
        <f t="shared" ref="F54" si="5">SUM(F48:F53)</f>
        <v>0</v>
      </c>
      <c r="G54" s="962">
        <f>SUM(G48:G53)</f>
        <v>0</v>
      </c>
    </row>
    <row r="55" spans="1:7" ht="12.75" customHeight="1" x14ac:dyDescent="0.3">
      <c r="A55" s="998" t="s">
        <v>1011</v>
      </c>
      <c r="B55" s="999"/>
      <c r="C55" s="999"/>
      <c r="D55" s="999"/>
      <c r="E55" s="999"/>
      <c r="F55" s="999"/>
      <c r="G55" s="1000"/>
    </row>
    <row r="56" spans="1:7" ht="65.099999999999994" customHeight="1" x14ac:dyDescent="0.3">
      <c r="A56" s="1001"/>
      <c r="B56" s="1002"/>
      <c r="C56" s="1002"/>
      <c r="D56" s="1002"/>
      <c r="E56" s="1002"/>
      <c r="F56" s="1002"/>
      <c r="G56" s="1003"/>
    </row>
    <row r="57" spans="1:7" ht="16.5" hidden="1" customHeight="1" x14ac:dyDescent="0.3">
      <c r="A57" s="983" t="s">
        <v>930</v>
      </c>
      <c r="B57" s="983"/>
      <c r="C57" s="983"/>
      <c r="D57" s="984"/>
    </row>
    <row r="58" spans="1:7" ht="30.75" hidden="1" customHeight="1" x14ac:dyDescent="0.3">
      <c r="A58" s="866" t="s">
        <v>2</v>
      </c>
      <c r="B58" s="867"/>
      <c r="C58" s="868"/>
      <c r="D58" s="874" t="s">
        <v>895</v>
      </c>
      <c r="E58" s="357" t="s">
        <v>633</v>
      </c>
      <c r="F58" s="357" t="s">
        <v>897</v>
      </c>
      <c r="G58" s="358" t="s">
        <v>10</v>
      </c>
    </row>
    <row r="59" spans="1:7" ht="12.75" hidden="1" customHeight="1" x14ac:dyDescent="0.3">
      <c r="A59" s="359" t="s">
        <v>638</v>
      </c>
      <c r="B59" s="360"/>
      <c r="C59" s="875"/>
      <c r="D59" s="893"/>
      <c r="E59" s="946" t="e">
        <f>+D59*#REF!</f>
        <v>#REF!</v>
      </c>
      <c r="F59" s="949" t="e">
        <f>+E59+D59</f>
        <v>#REF!</v>
      </c>
      <c r="G59" s="939">
        <f>IF(D59,(F59-D59)/D59,0)</f>
        <v>0</v>
      </c>
    </row>
    <row r="60" spans="1:7" ht="12.75" hidden="1" customHeight="1" x14ac:dyDescent="0.3">
      <c r="A60" s="359" t="s">
        <v>635</v>
      </c>
      <c r="B60" s="360"/>
      <c r="C60" s="361"/>
      <c r="D60" s="894"/>
      <c r="E60" s="947" t="e">
        <f>+D60*#REF!</f>
        <v>#REF!</v>
      </c>
      <c r="F60" s="950" t="e">
        <f>+E60+D60</f>
        <v>#REF!</v>
      </c>
      <c r="G60" s="941">
        <f t="shared" ref="G60:G62" si="6">IF(D60,(F60-D60)/D60,0)</f>
        <v>0</v>
      </c>
    </row>
    <row r="61" spans="1:7" ht="12.75" hidden="1" customHeight="1" x14ac:dyDescent="0.3">
      <c r="A61" s="359" t="s">
        <v>636</v>
      </c>
      <c r="B61" s="360"/>
      <c r="C61" s="361"/>
      <c r="D61" s="894"/>
      <c r="E61" s="947" t="e">
        <f>+D61*#REF!</f>
        <v>#REF!</v>
      </c>
      <c r="F61" s="950" t="e">
        <f>+E61+D61</f>
        <v>#REF!</v>
      </c>
      <c r="G61" s="941">
        <f t="shared" si="6"/>
        <v>0</v>
      </c>
    </row>
    <row r="62" spans="1:7" ht="12.75" hidden="1" customHeight="1" x14ac:dyDescent="0.3">
      <c r="A62" s="362" t="s">
        <v>637</v>
      </c>
      <c r="B62" s="363"/>
      <c r="C62" s="364"/>
      <c r="D62" s="895"/>
      <c r="E62" s="948" t="e">
        <f>+D62*#REF!</f>
        <v>#REF!</v>
      </c>
      <c r="F62" s="951" t="e">
        <f>+E62+D62</f>
        <v>#REF!</v>
      </c>
      <c r="G62" s="942">
        <f t="shared" si="6"/>
        <v>0</v>
      </c>
    </row>
    <row r="63" spans="1:7" ht="12.75" hidden="1" customHeight="1" x14ac:dyDescent="0.3">
      <c r="A63" s="870" t="s">
        <v>894</v>
      </c>
      <c r="B63" s="371"/>
      <c r="C63" s="371"/>
      <c r="D63" s="374"/>
      <c r="E63" s="374"/>
      <c r="F63" s="374"/>
      <c r="G63" s="373"/>
    </row>
    <row r="64" spans="1:7" ht="12.75" hidden="1" customHeight="1" x14ac:dyDescent="0.3">
      <c r="A64" s="365"/>
      <c r="B64" s="354"/>
      <c r="C64" s="354"/>
    </row>
    <row r="65" spans="1:8" s="354" customFormat="1" ht="12.75" hidden="1" customHeight="1" x14ac:dyDescent="0.25">
      <c r="A65" s="345" t="s">
        <v>931</v>
      </c>
      <c r="D65" s="366"/>
      <c r="E65" s="349"/>
      <c r="F65" s="366"/>
      <c r="G65" s="367"/>
    </row>
    <row r="66" spans="1:8" s="354" customFormat="1" ht="27" hidden="1" customHeight="1" x14ac:dyDescent="0.2">
      <c r="A66" s="975" t="s">
        <v>2</v>
      </c>
      <c r="B66" s="976"/>
      <c r="C66" s="977"/>
      <c r="D66" s="885" t="s">
        <v>901</v>
      </c>
      <c r="E66" s="888" t="s">
        <v>905</v>
      </c>
      <c r="F66" s="885" t="s">
        <v>902</v>
      </c>
      <c r="G66" s="864" t="s">
        <v>906</v>
      </c>
    </row>
    <row r="67" spans="1:8" s="354" customFormat="1" ht="12.75" hidden="1" customHeight="1" x14ac:dyDescent="0.2">
      <c r="A67" s="368" t="s">
        <v>639</v>
      </c>
      <c r="B67" s="368"/>
      <c r="C67" s="369"/>
      <c r="D67" s="943">
        <f>IF(D60,D60/D59,0)</f>
        <v>0</v>
      </c>
      <c r="E67" s="943">
        <v>1.1000000000000001</v>
      </c>
      <c r="F67" s="943" t="e">
        <f>IF(F60,F60/F59,0)</f>
        <v>#REF!</v>
      </c>
      <c r="G67" s="943" t="e">
        <f>+F67-E67</f>
        <v>#REF!</v>
      </c>
    </row>
    <row r="68" spans="1:8" s="354" customFormat="1" ht="12.75" hidden="1" customHeight="1" x14ac:dyDescent="0.2">
      <c r="A68" s="370" t="s">
        <v>640</v>
      </c>
      <c r="B68" s="370"/>
      <c r="C68" s="361"/>
      <c r="D68" s="944">
        <f>IF(D62,D62/D61,0)</f>
        <v>0</v>
      </c>
      <c r="E68" s="944">
        <v>1.1000000000000001</v>
      </c>
      <c r="F68" s="944" t="e">
        <f>IF(F62,F62/F61,0)</f>
        <v>#REF!</v>
      </c>
      <c r="G68" s="944" t="e">
        <f>+F68-E68</f>
        <v>#REF!</v>
      </c>
    </row>
    <row r="69" spans="1:8" s="354" customFormat="1" ht="12.75" hidden="1" customHeight="1" x14ac:dyDescent="0.2">
      <c r="A69" s="370" t="s">
        <v>641</v>
      </c>
      <c r="B69" s="370"/>
      <c r="C69" s="361"/>
      <c r="D69" s="944">
        <f>IF(D59,D61/D59,0)</f>
        <v>0</v>
      </c>
      <c r="E69" s="944">
        <v>3</v>
      </c>
      <c r="F69" s="944" t="e">
        <f>IF(F59,F61/F59,0)</f>
        <v>#REF!</v>
      </c>
      <c r="G69" s="944" t="e">
        <f>+F69-E69</f>
        <v>#REF!</v>
      </c>
    </row>
    <row r="70" spans="1:8" s="354" customFormat="1" ht="12.75" hidden="1" customHeight="1" x14ac:dyDescent="0.2">
      <c r="A70" s="372" t="s">
        <v>642</v>
      </c>
      <c r="B70" s="372"/>
      <c r="C70" s="364"/>
      <c r="D70" s="945">
        <f>IF(D60,D62/D60,0)</f>
        <v>0</v>
      </c>
      <c r="E70" s="945">
        <v>3</v>
      </c>
      <c r="F70" s="945" t="e">
        <f>IF(F60,F62/F60,0)</f>
        <v>#REF!</v>
      </c>
      <c r="G70" s="945" t="e">
        <f>+F70-E70</f>
        <v>#REF!</v>
      </c>
    </row>
    <row r="71" spans="1:8" s="354" customFormat="1" ht="12.75" hidden="1" customHeight="1" x14ac:dyDescent="0.2">
      <c r="A71" s="997" t="s">
        <v>896</v>
      </c>
      <c r="B71" s="997"/>
      <c r="C71" s="997"/>
      <c r="D71" s="997"/>
      <c r="E71" s="997"/>
      <c r="F71" s="997"/>
      <c r="G71" s="997"/>
      <c r="H71" s="869"/>
    </row>
    <row r="72" spans="1:8" s="354" customFormat="1" ht="12.75" hidden="1" customHeight="1" x14ac:dyDescent="0.2">
      <c r="A72" s="997"/>
      <c r="B72" s="997"/>
      <c r="C72" s="997"/>
      <c r="D72" s="997"/>
      <c r="E72" s="997"/>
      <c r="F72" s="997"/>
      <c r="G72" s="997"/>
      <c r="H72" s="869"/>
    </row>
    <row r="73" spans="1:8" s="354" customFormat="1" ht="12.75" hidden="1" customHeight="1" x14ac:dyDescent="0.2">
      <c r="A73" s="997"/>
      <c r="B73" s="997"/>
      <c r="C73" s="997"/>
      <c r="D73" s="997"/>
      <c r="E73" s="997"/>
      <c r="F73" s="997"/>
      <c r="G73" s="997"/>
      <c r="H73" s="869"/>
    </row>
  </sheetData>
  <mergeCells count="48">
    <mergeCell ref="A55:G55"/>
    <mergeCell ref="K35:L35"/>
    <mergeCell ref="A35:D36"/>
    <mergeCell ref="A37:D37"/>
    <mergeCell ref="A38:D38"/>
    <mergeCell ref="A39:D39"/>
    <mergeCell ref="E13:E14"/>
    <mergeCell ref="F13:G13"/>
    <mergeCell ref="A26:G26"/>
    <mergeCell ref="A27:D29"/>
    <mergeCell ref="A40:D40"/>
    <mergeCell ref="A19:D19"/>
    <mergeCell ref="A20:D20"/>
    <mergeCell ref="A21:D21"/>
    <mergeCell ref="A22:G22"/>
    <mergeCell ref="A23:G23"/>
    <mergeCell ref="A71:G73"/>
    <mergeCell ref="A30:G30"/>
    <mergeCell ref="A31:G31"/>
    <mergeCell ref="A34:G34"/>
    <mergeCell ref="E46:E47"/>
    <mergeCell ref="F46:G46"/>
    <mergeCell ref="A48:D48"/>
    <mergeCell ref="A41:G41"/>
    <mergeCell ref="A42:G42"/>
    <mergeCell ref="A45:G45"/>
    <mergeCell ref="A46:D47"/>
    <mergeCell ref="A56:G56"/>
    <mergeCell ref="A51:D51"/>
    <mergeCell ref="A52:D52"/>
    <mergeCell ref="A53:D53"/>
    <mergeCell ref="A54:D54"/>
    <mergeCell ref="A8:B8"/>
    <mergeCell ref="A9:B9"/>
    <mergeCell ref="A66:C66"/>
    <mergeCell ref="F35:G35"/>
    <mergeCell ref="F27:G27"/>
    <mergeCell ref="E27:E28"/>
    <mergeCell ref="A49:D49"/>
    <mergeCell ref="A50:D50"/>
    <mergeCell ref="E35:E36"/>
    <mergeCell ref="A57:D57"/>
    <mergeCell ref="A13:D14"/>
    <mergeCell ref="A12:G12"/>
    <mergeCell ref="A15:D15"/>
    <mergeCell ref="A16:D16"/>
    <mergeCell ref="A17:D17"/>
    <mergeCell ref="A18:D18"/>
  </mergeCells>
  <dataValidations count="2">
    <dataValidation type="list" allowBlank="1" showInputMessage="1" showErrorMessage="1" error="Please select institution from drop down menu" prompt="Click here to Select" sqref="G4">
      <formula1>"Dixie State University,Salt Lake Community College,Snow College,Southern Utah University,University of Utah,Utah State University,Utah Valley University,Weber State University"</formula1>
    </dataValidation>
    <dataValidation type="list" allowBlank="1" showInputMessage="1" showErrorMessage="1" sqref="A9:B9">
      <formula1>"Education &amp; General,School of Medicine,School of Law,School of Dentistry,Eastern,Regional Campus,Correction Facility Program"</formula1>
    </dataValidation>
  </dataValidations>
  <printOptions horizontalCentered="1"/>
  <pageMargins left="0.75" right="0.75" top="0.75" bottom="0.75" header="0.3" footer="0.3"/>
  <pageSetup scale="71" fitToHeight="2" orientation="portrait" r:id="rId1"/>
  <headerFooter>
    <oddFooter>&amp;L&amp;"Arial Narrow,Regular"&amp;10Revised: February 13, 2019&amp;R&amp;"Arial Narrow,Regular"&amp;10&amp;F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1"/>
  <sheetViews>
    <sheetView view="pageBreakPreview" topLeftCell="A4" zoomScaleNormal="100" zoomScaleSheetLayoutView="100" workbookViewId="0"/>
  </sheetViews>
  <sheetFormatPr defaultRowHeight="15" x14ac:dyDescent="0.25"/>
  <cols>
    <col min="1" max="1" width="9.140625" customWidth="1"/>
    <col min="11" max="11" width="3.85546875" customWidth="1"/>
    <col min="12" max="12" width="2.85546875" customWidth="1"/>
    <col min="23" max="23" width="3.7109375" customWidth="1"/>
  </cols>
  <sheetData>
    <row r="1" spans="1:23" s="1" customFormat="1" ht="27.75" customHeight="1" thickBot="1" x14ac:dyDescent="0.35">
      <c r="A1" s="39" t="s">
        <v>0</v>
      </c>
      <c r="B1" s="5"/>
      <c r="C1" s="7"/>
      <c r="D1" s="7"/>
      <c r="E1" s="7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1059" t="s">
        <v>156</v>
      </c>
      <c r="V1" s="1059"/>
      <c r="W1" s="1059"/>
    </row>
    <row r="2" spans="1:23" s="1" customFormat="1" ht="16.5" x14ac:dyDescent="0.3">
      <c r="A2" s="3" t="s">
        <v>876</v>
      </c>
      <c r="C2" s="8"/>
      <c r="D2" s="8"/>
      <c r="E2" s="8"/>
      <c r="F2" s="6"/>
    </row>
    <row r="10" spans="1:23" x14ac:dyDescent="0.25">
      <c r="D10" s="160"/>
    </row>
    <row r="25" spans="1:1" ht="15.75" x14ac:dyDescent="0.25">
      <c r="A25" s="164"/>
    </row>
    <row r="58" spans="1:1" x14ac:dyDescent="0.25">
      <c r="A58" t="s">
        <v>142</v>
      </c>
    </row>
    <row r="59" spans="1:1" x14ac:dyDescent="0.25">
      <c r="A59" t="s">
        <v>140</v>
      </c>
    </row>
    <row r="60" spans="1:1" x14ac:dyDescent="0.25">
      <c r="A60" t="s">
        <v>139</v>
      </c>
    </row>
    <row r="61" spans="1:1" x14ac:dyDescent="0.25">
      <c r="A61" t="s">
        <v>143</v>
      </c>
    </row>
  </sheetData>
  <mergeCells count="1">
    <mergeCell ref="U1:W1"/>
  </mergeCells>
  <printOptions horizontalCentered="1"/>
  <pageMargins left="0.7" right="0.7" top="0.75" bottom="0.75" header="0.3" footer="0.3"/>
  <pageSetup scale="55" orientation="landscape" r:id="rId1"/>
  <headerFooter>
    <oddFooter>&amp;LBLS&amp;CUtah System of Higher Education&amp;RPage &amp;P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9"/>
  <sheetViews>
    <sheetView view="pageBreakPreview" zoomScaleNormal="100" zoomScaleSheetLayoutView="100" workbookViewId="0"/>
  </sheetViews>
  <sheetFormatPr defaultRowHeight="15" x14ac:dyDescent="0.25"/>
  <cols>
    <col min="1" max="1" width="9.140625" customWidth="1"/>
    <col min="11" max="11" width="3.85546875" customWidth="1"/>
    <col min="12" max="12" width="2.85546875" customWidth="1"/>
    <col min="23" max="23" width="2.140625" customWidth="1"/>
  </cols>
  <sheetData>
    <row r="1" spans="1:23" s="1" customFormat="1" ht="27.75" customHeight="1" thickBot="1" x14ac:dyDescent="0.35">
      <c r="A1" s="39" t="s">
        <v>0</v>
      </c>
      <c r="B1" s="5"/>
      <c r="C1" s="7"/>
      <c r="D1" s="7"/>
      <c r="E1" s="7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1059" t="s">
        <v>157</v>
      </c>
      <c r="V1" s="1059"/>
      <c r="W1" s="1059"/>
    </row>
    <row r="2" spans="1:23" s="1" customFormat="1" ht="16.5" x14ac:dyDescent="0.3">
      <c r="A2" s="3" t="s">
        <v>877</v>
      </c>
      <c r="C2" s="8"/>
      <c r="D2" s="8"/>
      <c r="E2" s="8"/>
      <c r="F2" s="6"/>
    </row>
    <row r="10" spans="1:23" x14ac:dyDescent="0.25">
      <c r="D10" s="160"/>
    </row>
    <row r="25" spans="1:1" ht="15.75" x14ac:dyDescent="0.25">
      <c r="A25" s="164"/>
    </row>
    <row r="45" spans="1:1" x14ac:dyDescent="0.25">
      <c r="A45" t="s">
        <v>142</v>
      </c>
    </row>
    <row r="46" spans="1:1" x14ac:dyDescent="0.25">
      <c r="A46" t="s">
        <v>140</v>
      </c>
    </row>
    <row r="47" spans="1:1" x14ac:dyDescent="0.25">
      <c r="A47" t="s">
        <v>139</v>
      </c>
    </row>
    <row r="48" spans="1:1" x14ac:dyDescent="0.25">
      <c r="A48" t="s">
        <v>141</v>
      </c>
    </row>
    <row r="49" spans="1:1" x14ac:dyDescent="0.25">
      <c r="A49" t="s">
        <v>913</v>
      </c>
    </row>
  </sheetData>
  <mergeCells count="1">
    <mergeCell ref="U1:W1"/>
  </mergeCells>
  <printOptions horizontalCentered="1"/>
  <pageMargins left="0.7" right="0.7" top="0.75" bottom="0.75" header="0.3" footer="0.3"/>
  <pageSetup scale="62" orientation="landscape" r:id="rId1"/>
  <headerFooter>
    <oddFooter>&amp;LBLS&amp;CUtah System of Higher Education&amp;RPage &amp;P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7"/>
  <sheetViews>
    <sheetView view="pageBreakPreview" zoomScaleNormal="100" zoomScaleSheetLayoutView="100" workbookViewId="0"/>
  </sheetViews>
  <sheetFormatPr defaultColWidth="9.140625" defaultRowHeight="12.75" x14ac:dyDescent="0.2"/>
  <cols>
    <col min="1" max="1" width="4" style="401" customWidth="1"/>
    <col min="2" max="2" width="11.7109375" style="109" customWidth="1"/>
    <col min="3" max="4" width="12" style="109" customWidth="1"/>
    <col min="5" max="5" width="12.140625" style="109" customWidth="1"/>
    <col min="6" max="6" width="12.28515625" style="110" customWidth="1"/>
    <col min="7" max="8" width="12.5703125" style="110" customWidth="1"/>
    <col min="9" max="9" width="12.85546875" style="110" customWidth="1"/>
    <col min="10" max="10" width="2.42578125" style="401" customWidth="1"/>
    <col min="11" max="11" width="5.140625" style="401" hidden="1" customWidth="1"/>
    <col min="12" max="15" width="10.42578125" style="401" hidden="1" customWidth="1"/>
    <col min="16" max="16" width="9.85546875" style="401" hidden="1" customWidth="1"/>
    <col min="17" max="17" width="9.7109375" style="401" hidden="1" customWidth="1"/>
    <col min="18" max="18" width="9.42578125" style="401" hidden="1" customWidth="1"/>
    <col min="19" max="19" width="10.140625" style="401" hidden="1" customWidth="1"/>
    <col min="20" max="20" width="9.85546875" style="401" hidden="1" customWidth="1"/>
    <col min="21" max="16384" width="9.140625" style="401"/>
  </cols>
  <sheetData>
    <row r="1" spans="1:22" ht="16.5" thickBot="1" x14ac:dyDescent="0.3">
      <c r="A1" s="399" t="s">
        <v>674</v>
      </c>
      <c r="B1" s="143"/>
      <c r="C1" s="400"/>
      <c r="D1" s="143"/>
      <c r="E1" s="143"/>
      <c r="F1" s="143"/>
      <c r="G1" s="143"/>
      <c r="H1" s="143"/>
      <c r="I1" s="143"/>
    </row>
    <row r="2" spans="1:22" ht="20.25" x14ac:dyDescent="0.3">
      <c r="A2" s="402" t="s">
        <v>920</v>
      </c>
      <c r="B2" s="403"/>
      <c r="C2" s="403"/>
      <c r="D2" s="403"/>
      <c r="E2" s="403"/>
      <c r="F2" s="403"/>
      <c r="G2" s="403"/>
      <c r="H2" s="403"/>
      <c r="I2" s="403"/>
    </row>
    <row r="3" spans="1:22" x14ac:dyDescent="0.2">
      <c r="A3" s="404" t="s">
        <v>675</v>
      </c>
      <c r="B3" s="405"/>
      <c r="C3" s="405"/>
      <c r="D3" s="405"/>
      <c r="E3" s="405"/>
      <c r="F3" s="405"/>
      <c r="G3" s="405"/>
      <c r="H3" s="405"/>
      <c r="I3" s="405"/>
      <c r="L3" s="401" t="s">
        <v>152</v>
      </c>
    </row>
    <row r="4" spans="1:22" ht="4.5" customHeight="1" x14ac:dyDescent="0.2">
      <c r="A4" s="406"/>
      <c r="B4" s="405"/>
      <c r="C4" s="405"/>
      <c r="D4" s="405"/>
      <c r="E4" s="405"/>
      <c r="F4" s="405"/>
      <c r="G4" s="405"/>
      <c r="H4" s="405"/>
      <c r="I4" s="405"/>
    </row>
    <row r="5" spans="1:22" ht="21.75" customHeight="1" thickBot="1" x14ac:dyDescent="0.35">
      <c r="A5" s="407"/>
      <c r="B5" s="144" t="s">
        <v>153</v>
      </c>
      <c r="C5" s="144" t="s">
        <v>676</v>
      </c>
      <c r="D5" s="144" t="s">
        <v>677</v>
      </c>
      <c r="E5" s="145" t="s">
        <v>6</v>
      </c>
      <c r="F5" s="144" t="s">
        <v>678</v>
      </c>
      <c r="G5" s="144" t="s">
        <v>145</v>
      </c>
      <c r="H5" s="144" t="s">
        <v>8</v>
      </c>
      <c r="I5" s="146" t="s">
        <v>9</v>
      </c>
      <c r="L5" s="408" t="s">
        <v>144</v>
      </c>
      <c r="M5" s="408" t="s">
        <v>18</v>
      </c>
      <c r="N5" s="408" t="s">
        <v>5</v>
      </c>
      <c r="O5" s="408" t="s">
        <v>6</v>
      </c>
      <c r="P5" s="408" t="s">
        <v>7</v>
      </c>
      <c r="Q5" s="408" t="s">
        <v>145</v>
      </c>
      <c r="R5" s="409" t="e">
        <f>+#REF!</f>
        <v>#REF!</v>
      </c>
      <c r="S5" s="408" t="s">
        <v>8</v>
      </c>
      <c r="T5" s="408" t="s">
        <v>9</v>
      </c>
    </row>
    <row r="6" spans="1:22" ht="6" customHeight="1" thickTop="1" x14ac:dyDescent="0.3">
      <c r="A6" s="410"/>
      <c r="B6" s="147"/>
      <c r="C6" s="147"/>
      <c r="D6" s="147"/>
      <c r="E6" s="147"/>
      <c r="F6" s="148"/>
      <c r="G6" s="148"/>
      <c r="H6" s="148"/>
      <c r="I6" s="148"/>
      <c r="L6" s="109"/>
      <c r="M6" s="109"/>
      <c r="N6" s="109"/>
      <c r="O6" s="109"/>
      <c r="P6" s="110"/>
      <c r="Q6" s="110"/>
      <c r="R6" s="110"/>
      <c r="S6" s="110"/>
      <c r="T6" s="110"/>
    </row>
    <row r="7" spans="1:22" ht="16.5" x14ac:dyDescent="0.3">
      <c r="A7" s="410">
        <v>1</v>
      </c>
      <c r="B7" s="283">
        <v>853.31</v>
      </c>
      <c r="C7" s="283">
        <v>566.41999999999996</v>
      </c>
      <c r="D7" s="283">
        <v>440.39</v>
      </c>
      <c r="E7" s="283">
        <v>465</v>
      </c>
      <c r="F7" s="283">
        <v>313</v>
      </c>
      <c r="G7" s="283">
        <v>185.75</v>
      </c>
      <c r="H7" s="283">
        <v>384</v>
      </c>
      <c r="I7" s="283">
        <v>133.5</v>
      </c>
      <c r="K7" s="401">
        <v>1</v>
      </c>
      <c r="L7" s="111">
        <v>457.76</v>
      </c>
      <c r="M7" s="111">
        <v>356.75</v>
      </c>
      <c r="N7" s="111">
        <v>128.72</v>
      </c>
      <c r="O7" s="111">
        <v>48.75</v>
      </c>
      <c r="P7" s="111">
        <v>0</v>
      </c>
      <c r="Q7" s="111">
        <v>33.17</v>
      </c>
      <c r="R7" s="411">
        <v>28.200000000000003</v>
      </c>
      <c r="S7" s="111">
        <v>39</v>
      </c>
      <c r="T7" s="111">
        <v>57</v>
      </c>
    </row>
    <row r="8" spans="1:22" ht="15" customHeight="1" x14ac:dyDescent="0.3">
      <c r="A8" s="410">
        <v>2</v>
      </c>
      <c r="B8" s="284">
        <v>1077.96</v>
      </c>
      <c r="C8" s="284">
        <v>803.22</v>
      </c>
      <c r="D8" s="284">
        <v>640.96</v>
      </c>
      <c r="E8" s="284">
        <v>747</v>
      </c>
      <c r="F8" s="284">
        <v>463</v>
      </c>
      <c r="G8" s="284">
        <v>371.5</v>
      </c>
      <c r="H8" s="284">
        <v>578</v>
      </c>
      <c r="I8" s="284">
        <v>274.5</v>
      </c>
      <c r="K8" s="401">
        <v>2</v>
      </c>
      <c r="L8" s="111">
        <v>468.83</v>
      </c>
      <c r="M8" s="111">
        <v>373.5</v>
      </c>
      <c r="N8" s="111">
        <v>164.21</v>
      </c>
      <c r="O8" s="111">
        <v>85.75</v>
      </c>
      <c r="P8" s="111">
        <v>0</v>
      </c>
      <c r="Q8" s="111">
        <v>66.290000000000006</v>
      </c>
      <c r="R8" s="411">
        <v>46.999999999999972</v>
      </c>
      <c r="S8" s="111">
        <v>73</v>
      </c>
      <c r="T8" s="111">
        <v>79.5</v>
      </c>
      <c r="V8" s="412"/>
    </row>
    <row r="9" spans="1:22" ht="16.5" x14ac:dyDescent="0.3">
      <c r="A9" s="410">
        <v>3</v>
      </c>
      <c r="B9" s="284">
        <v>1302.6099999999999</v>
      </c>
      <c r="C9" s="284">
        <v>1040.02</v>
      </c>
      <c r="D9" s="284">
        <v>841.53</v>
      </c>
      <c r="E9" s="284">
        <v>1029</v>
      </c>
      <c r="F9" s="284">
        <v>613</v>
      </c>
      <c r="G9" s="284">
        <v>557.25</v>
      </c>
      <c r="H9" s="284">
        <v>772</v>
      </c>
      <c r="I9" s="284">
        <v>415.5</v>
      </c>
      <c r="K9" s="401">
        <v>3</v>
      </c>
      <c r="L9" s="111">
        <v>479.9</v>
      </c>
      <c r="M9" s="111">
        <v>390.25</v>
      </c>
      <c r="N9" s="111">
        <v>199.7</v>
      </c>
      <c r="O9" s="111">
        <v>122.75</v>
      </c>
      <c r="P9" s="111">
        <v>68</v>
      </c>
      <c r="Q9" s="111">
        <v>99.41</v>
      </c>
      <c r="R9" s="411">
        <v>65.800000000000011</v>
      </c>
      <c r="S9" s="111">
        <v>107</v>
      </c>
      <c r="T9" s="111">
        <v>102</v>
      </c>
      <c r="V9" s="412"/>
    </row>
    <row r="10" spans="1:22" ht="16.5" x14ac:dyDescent="0.3">
      <c r="A10" s="410">
        <v>4</v>
      </c>
      <c r="B10" s="284">
        <v>1527.26</v>
      </c>
      <c r="C10" s="284">
        <v>1276.82</v>
      </c>
      <c r="D10" s="284">
        <v>1042.0999999999999</v>
      </c>
      <c r="E10" s="284">
        <v>1311</v>
      </c>
      <c r="F10" s="284">
        <v>763</v>
      </c>
      <c r="G10" s="284">
        <v>743</v>
      </c>
      <c r="H10" s="284">
        <v>966</v>
      </c>
      <c r="I10" s="284">
        <v>556.5</v>
      </c>
      <c r="K10" s="401">
        <v>4</v>
      </c>
      <c r="L10" s="111">
        <v>490.97</v>
      </c>
      <c r="M10" s="111">
        <v>407</v>
      </c>
      <c r="N10" s="111">
        <v>235.19</v>
      </c>
      <c r="O10" s="111">
        <v>159.75</v>
      </c>
      <c r="P10" s="111">
        <v>88</v>
      </c>
      <c r="Q10" s="111">
        <v>132.53</v>
      </c>
      <c r="R10" s="411">
        <v>84.599999999999966</v>
      </c>
      <c r="S10" s="111">
        <v>141</v>
      </c>
      <c r="T10" s="111">
        <v>124.5</v>
      </c>
      <c r="V10" s="412"/>
    </row>
    <row r="11" spans="1:22" ht="16.5" x14ac:dyDescent="0.3">
      <c r="A11" s="410">
        <v>5</v>
      </c>
      <c r="B11" s="284">
        <v>1751.91</v>
      </c>
      <c r="C11" s="284">
        <v>1513.62</v>
      </c>
      <c r="D11" s="284">
        <v>1242.67</v>
      </c>
      <c r="E11" s="284">
        <v>1593</v>
      </c>
      <c r="F11" s="284">
        <v>913</v>
      </c>
      <c r="G11" s="284">
        <v>928.75</v>
      </c>
      <c r="H11" s="284">
        <v>1160</v>
      </c>
      <c r="I11" s="284">
        <v>697.5</v>
      </c>
      <c r="K11" s="401">
        <v>5</v>
      </c>
      <c r="L11" s="111">
        <v>502.04</v>
      </c>
      <c r="M11" s="111">
        <v>423.75</v>
      </c>
      <c r="N11" s="111">
        <v>270.68</v>
      </c>
      <c r="O11" s="111">
        <v>196.75</v>
      </c>
      <c r="P11" s="111">
        <v>108</v>
      </c>
      <c r="Q11" s="111">
        <v>165.64</v>
      </c>
      <c r="R11" s="411">
        <v>103.39999999999998</v>
      </c>
      <c r="S11" s="111">
        <v>175</v>
      </c>
      <c r="T11" s="111">
        <v>147</v>
      </c>
      <c r="V11" s="412"/>
    </row>
    <row r="12" spans="1:22" ht="16.5" x14ac:dyDescent="0.3">
      <c r="A12" s="410">
        <v>6</v>
      </c>
      <c r="B12" s="284">
        <v>1976.56</v>
      </c>
      <c r="C12" s="284">
        <v>1750.42</v>
      </c>
      <c r="D12" s="284">
        <v>1443.24</v>
      </c>
      <c r="E12" s="284">
        <v>1875</v>
      </c>
      <c r="F12" s="284">
        <v>1063</v>
      </c>
      <c r="G12" s="284">
        <v>1114.5</v>
      </c>
      <c r="H12" s="284">
        <v>1354</v>
      </c>
      <c r="I12" s="284">
        <v>838.5</v>
      </c>
      <c r="K12" s="401">
        <v>6</v>
      </c>
      <c r="L12" s="111">
        <v>513.11</v>
      </c>
      <c r="M12" s="111">
        <v>440.5</v>
      </c>
      <c r="N12" s="111">
        <v>306.17</v>
      </c>
      <c r="O12" s="111">
        <v>233.75</v>
      </c>
      <c r="P12" s="111">
        <v>128</v>
      </c>
      <c r="Q12" s="111">
        <v>198.76</v>
      </c>
      <c r="R12" s="411">
        <v>122.20000000000005</v>
      </c>
      <c r="S12" s="111">
        <v>209</v>
      </c>
      <c r="T12" s="111">
        <v>169.5</v>
      </c>
      <c r="V12" s="412"/>
    </row>
    <row r="13" spans="1:22" ht="16.5" x14ac:dyDescent="0.3">
      <c r="A13" s="410">
        <v>7</v>
      </c>
      <c r="B13" s="284">
        <v>2201.21</v>
      </c>
      <c r="C13" s="284">
        <v>1987.22</v>
      </c>
      <c r="D13" s="284">
        <v>1643.81</v>
      </c>
      <c r="E13" s="284">
        <v>2157</v>
      </c>
      <c r="F13" s="284">
        <v>1213</v>
      </c>
      <c r="G13" s="284">
        <v>1300.25</v>
      </c>
      <c r="H13" s="284">
        <v>1548</v>
      </c>
      <c r="I13" s="284">
        <v>979.5</v>
      </c>
      <c r="K13" s="401">
        <v>7</v>
      </c>
      <c r="L13" s="111">
        <v>524.17999999999995</v>
      </c>
      <c r="M13" s="111">
        <v>457.25</v>
      </c>
      <c r="N13" s="111">
        <v>341.66</v>
      </c>
      <c r="O13" s="111">
        <v>270.75</v>
      </c>
      <c r="P13" s="111">
        <v>148</v>
      </c>
      <c r="Q13" s="111">
        <v>231.89</v>
      </c>
      <c r="R13" s="411">
        <v>141</v>
      </c>
      <c r="S13" s="111">
        <v>243</v>
      </c>
      <c r="T13" s="111">
        <v>192</v>
      </c>
      <c r="V13" s="412"/>
    </row>
    <row r="14" spans="1:22" ht="16.5" x14ac:dyDescent="0.3">
      <c r="A14" s="410">
        <v>8</v>
      </c>
      <c r="B14" s="284">
        <v>2425.86</v>
      </c>
      <c r="C14" s="284">
        <v>2224.02</v>
      </c>
      <c r="D14" s="284">
        <v>1844.38</v>
      </c>
      <c r="E14" s="284">
        <v>2439</v>
      </c>
      <c r="F14" s="284">
        <v>1363</v>
      </c>
      <c r="G14" s="284">
        <v>1486</v>
      </c>
      <c r="H14" s="284">
        <v>1742</v>
      </c>
      <c r="I14" s="284">
        <v>1120.5</v>
      </c>
      <c r="K14" s="401">
        <v>8</v>
      </c>
      <c r="L14" s="111">
        <v>535.25</v>
      </c>
      <c r="M14" s="111">
        <v>474</v>
      </c>
      <c r="N14" s="111">
        <v>377.15</v>
      </c>
      <c r="O14" s="111">
        <v>307.75</v>
      </c>
      <c r="P14" s="111">
        <v>168</v>
      </c>
      <c r="Q14" s="111">
        <v>265.01</v>
      </c>
      <c r="R14" s="411">
        <v>159.80000000000007</v>
      </c>
      <c r="S14" s="111">
        <v>277</v>
      </c>
      <c r="T14" s="111">
        <v>214.5</v>
      </c>
      <c r="V14" s="412"/>
    </row>
    <row r="15" spans="1:22" ht="16.5" x14ac:dyDescent="0.3">
      <c r="A15" s="410">
        <v>9</v>
      </c>
      <c r="B15" s="284">
        <v>2650.51</v>
      </c>
      <c r="C15" s="284">
        <v>2460.8200000000002</v>
      </c>
      <c r="D15" s="284">
        <v>2044.95</v>
      </c>
      <c r="E15" s="284">
        <v>2721</v>
      </c>
      <c r="F15" s="284">
        <v>1513</v>
      </c>
      <c r="G15" s="284">
        <v>1671.75</v>
      </c>
      <c r="H15" s="284">
        <v>1936</v>
      </c>
      <c r="I15" s="284">
        <v>1261.5</v>
      </c>
      <c r="K15" s="401">
        <v>9</v>
      </c>
      <c r="L15" s="111">
        <v>546.32000000000005</v>
      </c>
      <c r="M15" s="111">
        <v>490.75</v>
      </c>
      <c r="N15" s="111">
        <v>412.64</v>
      </c>
      <c r="O15" s="111">
        <v>344.75</v>
      </c>
      <c r="P15" s="111">
        <v>188</v>
      </c>
      <c r="Q15" s="111">
        <v>298.14</v>
      </c>
      <c r="R15" s="411">
        <v>178.59999999999991</v>
      </c>
      <c r="S15" s="111">
        <v>311</v>
      </c>
      <c r="T15" s="111">
        <v>237</v>
      </c>
      <c r="V15" s="412"/>
    </row>
    <row r="16" spans="1:22" ht="16.5" x14ac:dyDescent="0.3">
      <c r="A16" s="410">
        <v>10</v>
      </c>
      <c r="B16" s="284">
        <v>2875.16</v>
      </c>
      <c r="C16" s="284">
        <v>2697.62</v>
      </c>
      <c r="D16" s="284">
        <v>2245.52</v>
      </c>
      <c r="E16" s="285">
        <v>3003</v>
      </c>
      <c r="F16" s="285">
        <v>1663</v>
      </c>
      <c r="G16" s="284">
        <v>1857.5</v>
      </c>
      <c r="H16" s="284">
        <v>2130</v>
      </c>
      <c r="I16" s="284">
        <v>1402.5</v>
      </c>
      <c r="K16" s="401">
        <v>10</v>
      </c>
      <c r="L16" s="111">
        <v>557.39</v>
      </c>
      <c r="M16" s="111">
        <v>507.5</v>
      </c>
      <c r="N16" s="111">
        <v>448.13</v>
      </c>
      <c r="O16" s="111">
        <v>381.75</v>
      </c>
      <c r="P16" s="111">
        <v>208</v>
      </c>
      <c r="Q16" s="111">
        <v>331.26</v>
      </c>
      <c r="R16" s="411">
        <v>197.40000000000009</v>
      </c>
      <c r="S16" s="111">
        <v>345</v>
      </c>
      <c r="T16" s="111">
        <v>237</v>
      </c>
      <c r="V16" s="412"/>
    </row>
    <row r="17" spans="1:22" ht="16.5" x14ac:dyDescent="0.3">
      <c r="A17" s="410">
        <v>11</v>
      </c>
      <c r="B17" s="284">
        <v>3099.81</v>
      </c>
      <c r="C17" s="286">
        <v>2934.42</v>
      </c>
      <c r="D17" s="285">
        <v>2446.09</v>
      </c>
      <c r="E17" s="285">
        <v>3003</v>
      </c>
      <c r="F17" s="285">
        <v>1663</v>
      </c>
      <c r="G17" s="284">
        <v>2043.25</v>
      </c>
      <c r="H17" s="284">
        <v>2324</v>
      </c>
      <c r="I17" s="284">
        <v>1543.5</v>
      </c>
      <c r="K17" s="401">
        <v>11</v>
      </c>
      <c r="L17" s="111">
        <v>568.46</v>
      </c>
      <c r="M17" s="111">
        <v>524.25</v>
      </c>
      <c r="N17" s="111">
        <v>483.62</v>
      </c>
      <c r="O17" s="111">
        <v>381.75</v>
      </c>
      <c r="P17" s="111">
        <v>208</v>
      </c>
      <c r="Q17" s="111">
        <v>364.38</v>
      </c>
      <c r="R17" s="411">
        <v>216.20000000000005</v>
      </c>
      <c r="S17" s="111">
        <v>345</v>
      </c>
      <c r="T17" s="111">
        <v>237</v>
      </c>
      <c r="V17" s="412"/>
    </row>
    <row r="18" spans="1:22" ht="16.5" x14ac:dyDescent="0.3">
      <c r="A18" s="410">
        <v>12</v>
      </c>
      <c r="B18" s="284">
        <v>3324.46</v>
      </c>
      <c r="C18" s="285">
        <v>3171.22</v>
      </c>
      <c r="D18" s="285">
        <v>2446.09</v>
      </c>
      <c r="E18" s="285">
        <v>3003</v>
      </c>
      <c r="F18" s="285">
        <v>1663</v>
      </c>
      <c r="G18" s="285">
        <v>2229</v>
      </c>
      <c r="H18" s="285">
        <v>2518</v>
      </c>
      <c r="I18" s="285">
        <v>1684.5</v>
      </c>
      <c r="K18" s="401">
        <v>12</v>
      </c>
      <c r="L18" s="111">
        <v>579.53</v>
      </c>
      <c r="M18" s="111">
        <v>541</v>
      </c>
      <c r="N18" s="111">
        <v>483.62</v>
      </c>
      <c r="O18" s="111">
        <v>381.75</v>
      </c>
      <c r="P18" s="111">
        <v>208</v>
      </c>
      <c r="Q18" s="111">
        <v>397.5</v>
      </c>
      <c r="R18" s="411">
        <v>235</v>
      </c>
      <c r="S18" s="111">
        <v>345</v>
      </c>
      <c r="T18" s="111">
        <v>237</v>
      </c>
      <c r="V18" s="412"/>
    </row>
    <row r="19" spans="1:22" ht="16.5" x14ac:dyDescent="0.3">
      <c r="A19" s="410">
        <v>13</v>
      </c>
      <c r="B19" s="286">
        <v>3549.11</v>
      </c>
      <c r="C19" s="285">
        <v>3171.22</v>
      </c>
      <c r="D19" s="285">
        <v>2446.09</v>
      </c>
      <c r="E19" s="285">
        <v>3003</v>
      </c>
      <c r="F19" s="285">
        <v>1663</v>
      </c>
      <c r="G19" s="285">
        <v>2229</v>
      </c>
      <c r="H19" s="285">
        <v>2518</v>
      </c>
      <c r="I19" s="285">
        <v>1684.5</v>
      </c>
      <c r="K19" s="401">
        <v>13</v>
      </c>
      <c r="L19" s="111">
        <v>590.6</v>
      </c>
      <c r="M19" s="111">
        <v>541</v>
      </c>
      <c r="N19" s="111">
        <v>483.62</v>
      </c>
      <c r="O19" s="111">
        <v>381.75</v>
      </c>
      <c r="P19" s="111">
        <v>208</v>
      </c>
      <c r="Q19" s="111">
        <v>397.5</v>
      </c>
      <c r="R19" s="411">
        <v>235</v>
      </c>
      <c r="S19" s="111">
        <v>345</v>
      </c>
      <c r="T19" s="111">
        <v>237</v>
      </c>
      <c r="V19" s="412"/>
    </row>
    <row r="20" spans="1:22" ht="16.5" x14ac:dyDescent="0.3">
      <c r="A20" s="410">
        <v>14</v>
      </c>
      <c r="B20" s="286">
        <v>3773.76</v>
      </c>
      <c r="C20" s="285">
        <v>3171.22</v>
      </c>
      <c r="D20" s="285">
        <v>2446.09</v>
      </c>
      <c r="E20" s="285">
        <v>3003</v>
      </c>
      <c r="F20" s="285">
        <v>1663</v>
      </c>
      <c r="G20" s="285">
        <v>2229</v>
      </c>
      <c r="H20" s="285">
        <v>2518</v>
      </c>
      <c r="I20" s="285">
        <v>1684.5</v>
      </c>
      <c r="K20" s="401">
        <v>14</v>
      </c>
      <c r="L20" s="111">
        <v>601.66999999999996</v>
      </c>
      <c r="M20" s="111">
        <v>541</v>
      </c>
      <c r="N20" s="111">
        <v>483.62</v>
      </c>
      <c r="O20" s="111">
        <v>381.75</v>
      </c>
      <c r="P20" s="111">
        <v>208</v>
      </c>
      <c r="Q20" s="111">
        <v>397.5</v>
      </c>
      <c r="R20" s="411">
        <v>235</v>
      </c>
      <c r="S20" s="111">
        <v>345</v>
      </c>
      <c r="T20" s="111">
        <v>237</v>
      </c>
      <c r="V20" s="412"/>
    </row>
    <row r="21" spans="1:22" ht="16.5" x14ac:dyDescent="0.3">
      <c r="A21" s="410">
        <v>15</v>
      </c>
      <c r="B21" s="286">
        <v>3998.41</v>
      </c>
      <c r="C21" s="285">
        <v>3171.22</v>
      </c>
      <c r="D21" s="285">
        <v>2446.09</v>
      </c>
      <c r="E21" s="285">
        <v>3003</v>
      </c>
      <c r="F21" s="285">
        <v>1663</v>
      </c>
      <c r="G21" s="285">
        <v>2229</v>
      </c>
      <c r="H21" s="285">
        <v>2518</v>
      </c>
      <c r="I21" s="285">
        <v>1684.5</v>
      </c>
      <c r="K21" s="413">
        <v>15</v>
      </c>
      <c r="L21" s="414">
        <v>612.74</v>
      </c>
      <c r="M21" s="414">
        <v>541</v>
      </c>
      <c r="N21" s="414">
        <v>483.62</v>
      </c>
      <c r="O21" s="414">
        <v>381.75</v>
      </c>
      <c r="P21" s="414">
        <v>208</v>
      </c>
      <c r="Q21" s="414">
        <v>397.5</v>
      </c>
      <c r="R21" s="415">
        <v>235</v>
      </c>
      <c r="S21" s="414">
        <v>345</v>
      </c>
      <c r="T21" s="414">
        <v>237</v>
      </c>
      <c r="V21" s="412"/>
    </row>
    <row r="22" spans="1:22" ht="16.5" x14ac:dyDescent="0.3">
      <c r="A22" s="410">
        <v>16</v>
      </c>
      <c r="B22" s="286">
        <v>4223.0600000000004</v>
      </c>
      <c r="C22" s="285">
        <v>3171.22</v>
      </c>
      <c r="D22" s="285">
        <v>2446.09</v>
      </c>
      <c r="E22" s="285">
        <v>3003</v>
      </c>
      <c r="F22" s="285">
        <v>1663</v>
      </c>
      <c r="G22" s="285">
        <v>2229</v>
      </c>
      <c r="H22" s="285">
        <v>2518</v>
      </c>
      <c r="I22" s="285">
        <v>1684.5</v>
      </c>
      <c r="K22" s="401">
        <v>16</v>
      </c>
      <c r="L22" s="111">
        <v>617.16</v>
      </c>
      <c r="M22" s="111">
        <v>541</v>
      </c>
      <c r="N22" s="111">
        <v>483.62</v>
      </c>
      <c r="O22" s="111">
        <v>381.75</v>
      </c>
      <c r="P22" s="111">
        <v>208</v>
      </c>
      <c r="Q22" s="111">
        <v>397.5</v>
      </c>
      <c r="R22" s="411">
        <v>235</v>
      </c>
      <c r="S22" s="111">
        <v>345</v>
      </c>
      <c r="T22" s="111">
        <v>237</v>
      </c>
      <c r="V22" s="412"/>
    </row>
    <row r="23" spans="1:22" ht="16.5" x14ac:dyDescent="0.3">
      <c r="A23" s="410">
        <v>17</v>
      </c>
      <c r="B23" s="286">
        <v>4447.71</v>
      </c>
      <c r="C23" s="285">
        <v>3171.22</v>
      </c>
      <c r="D23" s="285">
        <v>2446.09</v>
      </c>
      <c r="E23" s="285">
        <v>3003</v>
      </c>
      <c r="F23" s="285">
        <v>1663</v>
      </c>
      <c r="G23" s="285">
        <v>2229</v>
      </c>
      <c r="H23" s="285">
        <v>2518</v>
      </c>
      <c r="I23" s="285">
        <v>1684.5</v>
      </c>
      <c r="K23" s="401">
        <v>17</v>
      </c>
      <c r="L23" s="111">
        <v>621.58000000000004</v>
      </c>
      <c r="M23" s="111">
        <v>541</v>
      </c>
      <c r="N23" s="111">
        <v>483.62</v>
      </c>
      <c r="O23" s="111">
        <v>381.75</v>
      </c>
      <c r="P23" s="111">
        <v>208</v>
      </c>
      <c r="Q23" s="111">
        <v>397.5</v>
      </c>
      <c r="R23" s="411">
        <v>235</v>
      </c>
      <c r="S23" s="111">
        <v>345</v>
      </c>
      <c r="T23" s="111">
        <v>237</v>
      </c>
      <c r="V23" s="412"/>
    </row>
    <row r="24" spans="1:22" ht="16.5" x14ac:dyDescent="0.3">
      <c r="A24" s="410">
        <v>18</v>
      </c>
      <c r="B24" s="286">
        <v>4672.3599999999997</v>
      </c>
      <c r="C24" s="285">
        <v>3171.22</v>
      </c>
      <c r="D24" s="285">
        <v>2446.09</v>
      </c>
      <c r="E24" s="285">
        <v>3003</v>
      </c>
      <c r="F24" s="285">
        <v>1663</v>
      </c>
      <c r="G24" s="285">
        <v>2229</v>
      </c>
      <c r="H24" s="285">
        <v>2518</v>
      </c>
      <c r="I24" s="285">
        <v>1684.5</v>
      </c>
      <c r="K24" s="401">
        <v>18</v>
      </c>
      <c r="L24" s="111">
        <v>626</v>
      </c>
      <c r="M24" s="111">
        <v>541</v>
      </c>
      <c r="N24" s="111">
        <v>483.62</v>
      </c>
      <c r="O24" s="111">
        <v>381.75</v>
      </c>
      <c r="P24" s="111">
        <v>208</v>
      </c>
      <c r="Q24" s="111">
        <v>397.5</v>
      </c>
      <c r="R24" s="411">
        <v>235</v>
      </c>
      <c r="S24" s="111">
        <v>345</v>
      </c>
      <c r="T24" s="111">
        <v>237</v>
      </c>
      <c r="V24" s="412"/>
    </row>
    <row r="25" spans="1:22" ht="16.5" x14ac:dyDescent="0.3">
      <c r="A25" s="410">
        <v>19</v>
      </c>
      <c r="B25" s="284">
        <v>4897.01</v>
      </c>
      <c r="C25" s="284">
        <v>3408.02</v>
      </c>
      <c r="D25" s="284">
        <v>2646.66</v>
      </c>
      <c r="E25" s="286">
        <v>3285</v>
      </c>
      <c r="F25" s="285">
        <v>1663</v>
      </c>
      <c r="G25" s="285">
        <v>2229</v>
      </c>
      <c r="H25" s="284">
        <v>2712</v>
      </c>
      <c r="I25" s="284">
        <v>1825.5</v>
      </c>
      <c r="K25" s="401">
        <v>19</v>
      </c>
      <c r="L25" s="111">
        <v>630.41999999999996</v>
      </c>
      <c r="M25" s="111">
        <v>557.75</v>
      </c>
      <c r="N25" s="111">
        <v>483.62</v>
      </c>
      <c r="O25" s="111">
        <v>381.75</v>
      </c>
      <c r="P25" s="111">
        <v>208</v>
      </c>
      <c r="Q25" s="111">
        <v>397.5</v>
      </c>
      <c r="R25" s="411">
        <v>253.79999999999995</v>
      </c>
      <c r="S25" s="111">
        <v>345</v>
      </c>
      <c r="T25" s="111">
        <v>237</v>
      </c>
      <c r="V25" s="412"/>
    </row>
    <row r="26" spans="1:22" ht="16.5" x14ac:dyDescent="0.3">
      <c r="A26" s="410">
        <v>20</v>
      </c>
      <c r="B26" s="284">
        <v>5121.66</v>
      </c>
      <c r="C26" s="284">
        <v>3644.82</v>
      </c>
      <c r="D26" s="284">
        <v>2847.23</v>
      </c>
      <c r="E26" s="286">
        <v>3567</v>
      </c>
      <c r="F26" s="285">
        <v>1663</v>
      </c>
      <c r="G26" s="285">
        <v>2229</v>
      </c>
      <c r="H26" s="284">
        <v>2906</v>
      </c>
      <c r="I26" s="284">
        <v>1966.5</v>
      </c>
      <c r="K26" s="401">
        <v>20</v>
      </c>
      <c r="L26" s="111">
        <v>634.84</v>
      </c>
      <c r="M26" s="111">
        <v>574.5</v>
      </c>
      <c r="N26" s="111">
        <v>483.62</v>
      </c>
      <c r="O26" s="111">
        <v>381.75</v>
      </c>
      <c r="P26" s="111">
        <v>208</v>
      </c>
      <c r="Q26" s="111">
        <v>397.5</v>
      </c>
      <c r="R26" s="411">
        <v>272.59999999999991</v>
      </c>
      <c r="S26" s="111">
        <v>345</v>
      </c>
      <c r="T26" s="111">
        <v>237</v>
      </c>
      <c r="V26" s="412"/>
    </row>
    <row r="27" spans="1:22" ht="16.5" customHeight="1" x14ac:dyDescent="0.3">
      <c r="A27" s="410">
        <v>21</v>
      </c>
      <c r="B27" s="284">
        <v>5346.31</v>
      </c>
      <c r="C27" s="284">
        <v>3881.62</v>
      </c>
      <c r="D27" s="284">
        <v>3047.8</v>
      </c>
      <c r="E27" s="284">
        <v>3849</v>
      </c>
      <c r="F27" s="284">
        <v>1813</v>
      </c>
      <c r="G27" s="284">
        <v>2414.75</v>
      </c>
      <c r="H27" s="284">
        <v>3100</v>
      </c>
      <c r="I27" s="284">
        <v>2107.5</v>
      </c>
      <c r="K27" s="401">
        <v>21</v>
      </c>
      <c r="L27" s="111">
        <v>639.26</v>
      </c>
      <c r="M27" s="111">
        <v>591.25</v>
      </c>
      <c r="N27" s="111">
        <v>483.62</v>
      </c>
      <c r="O27" s="111">
        <v>381.75</v>
      </c>
      <c r="P27" s="111">
        <v>208</v>
      </c>
      <c r="Q27" s="111">
        <v>397.5</v>
      </c>
      <c r="R27" s="411">
        <v>291.40000000000009</v>
      </c>
      <c r="S27" s="111">
        <v>345</v>
      </c>
      <c r="T27" s="111">
        <v>237</v>
      </c>
      <c r="V27" s="412"/>
    </row>
    <row r="28" spans="1:22" ht="16.5" customHeight="1" x14ac:dyDescent="0.3">
      <c r="A28" s="410">
        <v>22</v>
      </c>
      <c r="B28" s="284">
        <v>5570.96</v>
      </c>
      <c r="C28" s="284">
        <v>4118.42</v>
      </c>
      <c r="D28" s="284">
        <v>3248.37</v>
      </c>
      <c r="E28" s="284">
        <v>4131</v>
      </c>
      <c r="F28" s="284">
        <v>1963</v>
      </c>
      <c r="G28" s="284">
        <v>2600.5</v>
      </c>
      <c r="H28" s="284">
        <v>3294</v>
      </c>
      <c r="I28" s="284">
        <v>2248.5</v>
      </c>
      <c r="K28" s="401">
        <v>22</v>
      </c>
      <c r="L28" s="111">
        <v>643.67999999999995</v>
      </c>
      <c r="M28" s="111">
        <v>608</v>
      </c>
      <c r="N28" s="111">
        <v>483.62</v>
      </c>
      <c r="O28" s="111">
        <v>381.75</v>
      </c>
      <c r="P28" s="111">
        <v>208</v>
      </c>
      <c r="Q28" s="111">
        <v>397.5</v>
      </c>
      <c r="R28" s="411">
        <v>310.20000000000005</v>
      </c>
      <c r="S28" s="111">
        <v>345</v>
      </c>
      <c r="T28" s="111">
        <v>237</v>
      </c>
      <c r="V28" s="412"/>
    </row>
    <row r="29" spans="1:22" ht="16.5" x14ac:dyDescent="0.3">
      <c r="A29" s="410">
        <v>23</v>
      </c>
      <c r="B29" s="284">
        <v>5795.61</v>
      </c>
      <c r="C29" s="284">
        <v>4355.22</v>
      </c>
      <c r="D29" s="284">
        <v>3448.94</v>
      </c>
      <c r="E29" s="284">
        <v>4413</v>
      </c>
      <c r="F29" s="284">
        <v>2113</v>
      </c>
      <c r="G29" s="284">
        <v>2786.25</v>
      </c>
      <c r="H29" s="284">
        <v>3488</v>
      </c>
      <c r="I29" s="284">
        <v>2389.5</v>
      </c>
      <c r="K29" s="401">
        <v>23</v>
      </c>
      <c r="L29" s="111">
        <v>648.1</v>
      </c>
      <c r="M29" s="111">
        <v>624.75</v>
      </c>
      <c r="N29" s="111">
        <v>483.62</v>
      </c>
      <c r="O29" s="111">
        <v>381.75</v>
      </c>
      <c r="P29" s="111">
        <v>208</v>
      </c>
      <c r="Q29" s="111">
        <v>397.5</v>
      </c>
      <c r="R29" s="411">
        <v>329</v>
      </c>
      <c r="S29" s="111">
        <v>345</v>
      </c>
      <c r="T29" s="111">
        <v>237</v>
      </c>
      <c r="V29" s="412"/>
    </row>
    <row r="30" spans="1:22" ht="16.5" x14ac:dyDescent="0.3">
      <c r="A30" s="410">
        <v>24</v>
      </c>
      <c r="B30" s="284">
        <v>6020.26</v>
      </c>
      <c r="C30" s="284">
        <v>4592.0200000000004</v>
      </c>
      <c r="D30" s="284">
        <v>3649.51</v>
      </c>
      <c r="E30" s="284">
        <v>4695</v>
      </c>
      <c r="F30" s="284">
        <v>2263</v>
      </c>
      <c r="G30" s="284">
        <v>2972</v>
      </c>
      <c r="H30" s="284">
        <v>3682</v>
      </c>
      <c r="I30" s="284">
        <v>2530.5</v>
      </c>
      <c r="K30" s="401">
        <v>24</v>
      </c>
      <c r="L30" s="111">
        <v>652.52</v>
      </c>
      <c r="M30" s="111">
        <v>641.5</v>
      </c>
      <c r="N30" s="111">
        <v>483.62</v>
      </c>
      <c r="O30" s="111">
        <v>381.75</v>
      </c>
      <c r="P30" s="111">
        <v>208</v>
      </c>
      <c r="Q30" s="111">
        <v>397.5</v>
      </c>
      <c r="R30" s="411">
        <v>347.80000000000018</v>
      </c>
      <c r="S30" s="111">
        <v>345</v>
      </c>
      <c r="T30" s="111">
        <v>237</v>
      </c>
      <c r="V30" s="412"/>
    </row>
    <row r="31" spans="1:22" ht="16.5" x14ac:dyDescent="0.3">
      <c r="A31" s="410">
        <v>25</v>
      </c>
      <c r="B31" s="284">
        <v>6244.91</v>
      </c>
      <c r="C31" s="284">
        <v>4828.82</v>
      </c>
      <c r="D31" s="284">
        <v>3850.08</v>
      </c>
      <c r="E31" s="284">
        <v>4977</v>
      </c>
      <c r="F31" s="284">
        <v>2413</v>
      </c>
      <c r="G31" s="284">
        <v>3157.75</v>
      </c>
      <c r="H31" s="284">
        <v>3876</v>
      </c>
      <c r="I31" s="284">
        <v>2671.5</v>
      </c>
      <c r="K31" s="401">
        <v>25</v>
      </c>
      <c r="L31" s="111">
        <v>656.94</v>
      </c>
      <c r="M31" s="111">
        <v>658.25</v>
      </c>
      <c r="N31" s="111">
        <v>483.62</v>
      </c>
      <c r="O31" s="111">
        <v>381.75</v>
      </c>
      <c r="P31" s="111">
        <v>208</v>
      </c>
      <c r="Q31" s="111">
        <v>397.5</v>
      </c>
      <c r="R31" s="411">
        <v>366.59999999999991</v>
      </c>
      <c r="S31" s="111">
        <v>345</v>
      </c>
      <c r="T31" s="111">
        <v>237</v>
      </c>
      <c r="V31" s="412"/>
    </row>
    <row r="32" spans="1:22" ht="5.25" customHeight="1" x14ac:dyDescent="0.2">
      <c r="L32" s="109"/>
      <c r="M32" s="109"/>
      <c r="N32" s="109"/>
      <c r="O32" s="109"/>
      <c r="P32" s="110"/>
      <c r="Q32" s="110"/>
      <c r="R32" s="110"/>
      <c r="S32" s="110"/>
      <c r="T32" s="110"/>
    </row>
    <row r="33" spans="1:20" ht="16.5" thickBot="1" x14ac:dyDescent="0.3">
      <c r="A33" s="399" t="s">
        <v>679</v>
      </c>
      <c r="B33" s="143"/>
      <c r="C33" s="143"/>
      <c r="D33" s="143"/>
      <c r="E33" s="143"/>
      <c r="F33" s="143"/>
      <c r="G33" s="143"/>
      <c r="H33" s="143"/>
      <c r="I33" s="143"/>
    </row>
    <row r="34" spans="1:20" ht="18" x14ac:dyDescent="0.25">
      <c r="A34" s="402" t="str">
        <f>A2</f>
        <v>USHE 2018-19</v>
      </c>
      <c r="B34" s="416"/>
      <c r="C34" s="416"/>
      <c r="D34" s="416"/>
      <c r="E34" s="416"/>
      <c r="F34" s="416"/>
      <c r="G34" s="416"/>
      <c r="H34" s="416"/>
      <c r="I34" s="416"/>
    </row>
    <row r="35" spans="1:20" x14ac:dyDescent="0.2">
      <c r="A35" s="404" t="s">
        <v>680</v>
      </c>
      <c r="B35" s="405"/>
      <c r="C35" s="405"/>
      <c r="D35" s="405"/>
      <c r="E35" s="405"/>
      <c r="F35" s="405"/>
      <c r="G35" s="405"/>
      <c r="H35" s="405"/>
      <c r="I35" s="405"/>
    </row>
    <row r="36" spans="1:20" ht="4.5" customHeight="1" x14ac:dyDescent="0.2">
      <c r="A36" s="406"/>
      <c r="B36" s="405"/>
      <c r="C36" s="405"/>
      <c r="D36" s="405"/>
      <c r="E36" s="405"/>
      <c r="F36" s="405"/>
      <c r="G36" s="405"/>
      <c r="H36" s="405"/>
      <c r="I36" s="405"/>
    </row>
    <row r="37" spans="1:20" ht="21" customHeight="1" thickBot="1" x14ac:dyDescent="0.35">
      <c r="A37" s="407"/>
      <c r="B37" s="144" t="s">
        <v>153</v>
      </c>
      <c r="C37" s="144" t="s">
        <v>676</v>
      </c>
      <c r="D37" s="144" t="s">
        <v>677</v>
      </c>
      <c r="E37" s="145" t="s">
        <v>6</v>
      </c>
      <c r="F37" s="144" t="s">
        <v>678</v>
      </c>
      <c r="G37" s="149" t="s">
        <v>145</v>
      </c>
      <c r="H37" s="149" t="s">
        <v>8</v>
      </c>
      <c r="I37" s="146" t="s">
        <v>9</v>
      </c>
    </row>
    <row r="38" spans="1:20" ht="6" customHeight="1" thickTop="1" x14ac:dyDescent="0.3">
      <c r="A38" s="410"/>
      <c r="B38" s="147"/>
      <c r="C38" s="147"/>
      <c r="D38" s="147"/>
      <c r="E38" s="147"/>
      <c r="F38" s="148"/>
      <c r="G38" s="148"/>
      <c r="H38" s="148"/>
      <c r="I38" s="148"/>
      <c r="L38" s="417"/>
      <c r="M38" s="417"/>
      <c r="N38" s="417"/>
      <c r="O38" s="417"/>
      <c r="P38" s="417"/>
      <c r="Q38" s="417"/>
      <c r="R38" s="417"/>
      <c r="S38" s="417"/>
      <c r="T38" s="417"/>
    </row>
    <row r="39" spans="1:20" ht="16.5" x14ac:dyDescent="0.3">
      <c r="A39" s="410">
        <v>1</v>
      </c>
      <c r="B39" s="283">
        <f t="shared" ref="B39:C54" si="0">B7+L7</f>
        <v>1311.07</v>
      </c>
      <c r="C39" s="283">
        <f t="shared" si="0"/>
        <v>923.17</v>
      </c>
      <c r="D39" s="283">
        <f t="shared" ref="D39:D63" si="1">+D7+N7</f>
        <v>569.11</v>
      </c>
      <c r="E39" s="283">
        <f t="shared" ref="E39:G54" si="2">E7+O7</f>
        <v>513.75</v>
      </c>
      <c r="F39" s="283">
        <f t="shared" si="2"/>
        <v>313</v>
      </c>
      <c r="G39" s="283">
        <f t="shared" si="2"/>
        <v>218.92000000000002</v>
      </c>
      <c r="H39" s="283">
        <f t="shared" ref="H39:I54" si="3">H7+S7</f>
        <v>423</v>
      </c>
      <c r="I39" s="283">
        <f t="shared" si="3"/>
        <v>190.5</v>
      </c>
      <c r="L39" s="417"/>
      <c r="M39" s="417"/>
      <c r="N39" s="417"/>
      <c r="O39" s="417"/>
      <c r="P39" s="417"/>
      <c r="Q39" s="417"/>
      <c r="R39" s="417"/>
      <c r="S39" s="417"/>
      <c r="T39" s="417"/>
    </row>
    <row r="40" spans="1:20" ht="16.5" x14ac:dyDescent="0.3">
      <c r="A40" s="410">
        <v>2</v>
      </c>
      <c r="B40" s="284">
        <f t="shared" si="0"/>
        <v>1546.79</v>
      </c>
      <c r="C40" s="284">
        <f t="shared" si="0"/>
        <v>1176.72</v>
      </c>
      <c r="D40" s="287">
        <f t="shared" si="1"/>
        <v>805.17000000000007</v>
      </c>
      <c r="E40" s="284">
        <f t="shared" si="2"/>
        <v>832.75</v>
      </c>
      <c r="F40" s="284">
        <f t="shared" si="2"/>
        <v>463</v>
      </c>
      <c r="G40" s="284">
        <f t="shared" si="2"/>
        <v>437.79</v>
      </c>
      <c r="H40" s="284">
        <f t="shared" si="3"/>
        <v>651</v>
      </c>
      <c r="I40" s="284">
        <f t="shared" si="3"/>
        <v>354</v>
      </c>
      <c r="L40" s="417"/>
      <c r="M40" s="417"/>
      <c r="N40" s="417"/>
      <c r="O40" s="417"/>
      <c r="P40" s="417"/>
      <c r="Q40" s="417"/>
      <c r="R40" s="417"/>
      <c r="S40" s="417"/>
      <c r="T40" s="417"/>
    </row>
    <row r="41" spans="1:20" ht="16.5" x14ac:dyDescent="0.3">
      <c r="A41" s="410">
        <v>3</v>
      </c>
      <c r="B41" s="284">
        <f t="shared" si="0"/>
        <v>1782.5099999999998</v>
      </c>
      <c r="C41" s="284">
        <f t="shared" si="0"/>
        <v>1430.27</v>
      </c>
      <c r="D41" s="287">
        <f t="shared" si="1"/>
        <v>1041.23</v>
      </c>
      <c r="E41" s="284">
        <f t="shared" si="2"/>
        <v>1151.75</v>
      </c>
      <c r="F41" s="284">
        <f t="shared" si="2"/>
        <v>681</v>
      </c>
      <c r="G41" s="284">
        <f t="shared" si="2"/>
        <v>656.66</v>
      </c>
      <c r="H41" s="284">
        <f t="shared" si="3"/>
        <v>879</v>
      </c>
      <c r="I41" s="284">
        <f t="shared" si="3"/>
        <v>517.5</v>
      </c>
      <c r="L41" s="417"/>
      <c r="M41" s="417"/>
      <c r="N41" s="417"/>
      <c r="O41" s="417"/>
      <c r="P41" s="417"/>
      <c r="Q41" s="417"/>
      <c r="R41" s="417"/>
      <c r="S41" s="417"/>
      <c r="T41" s="417"/>
    </row>
    <row r="42" spans="1:20" ht="16.5" x14ac:dyDescent="0.3">
      <c r="A42" s="410">
        <v>4</v>
      </c>
      <c r="B42" s="284">
        <f t="shared" si="0"/>
        <v>2018.23</v>
      </c>
      <c r="C42" s="284">
        <f t="shared" si="0"/>
        <v>1683.82</v>
      </c>
      <c r="D42" s="287">
        <f t="shared" si="1"/>
        <v>1277.29</v>
      </c>
      <c r="E42" s="284">
        <f t="shared" si="2"/>
        <v>1470.75</v>
      </c>
      <c r="F42" s="284">
        <f t="shared" si="2"/>
        <v>851</v>
      </c>
      <c r="G42" s="284">
        <f t="shared" si="2"/>
        <v>875.53</v>
      </c>
      <c r="H42" s="284">
        <f t="shared" si="3"/>
        <v>1107</v>
      </c>
      <c r="I42" s="284">
        <f t="shared" si="3"/>
        <v>681</v>
      </c>
      <c r="L42" s="417"/>
      <c r="M42" s="417"/>
      <c r="N42" s="417"/>
      <c r="O42" s="417"/>
      <c r="P42" s="417"/>
      <c r="Q42" s="417"/>
      <c r="R42" s="417"/>
      <c r="S42" s="417"/>
      <c r="T42" s="417"/>
    </row>
    <row r="43" spans="1:20" ht="16.5" x14ac:dyDescent="0.3">
      <c r="A43" s="410">
        <v>5</v>
      </c>
      <c r="B43" s="284">
        <f t="shared" si="0"/>
        <v>2253.9500000000003</v>
      </c>
      <c r="C43" s="284">
        <f t="shared" si="0"/>
        <v>1937.37</v>
      </c>
      <c r="D43" s="287">
        <f t="shared" si="1"/>
        <v>1513.3500000000001</v>
      </c>
      <c r="E43" s="284">
        <f t="shared" si="2"/>
        <v>1789.75</v>
      </c>
      <c r="F43" s="284">
        <f t="shared" si="2"/>
        <v>1021</v>
      </c>
      <c r="G43" s="284">
        <f t="shared" si="2"/>
        <v>1094.3899999999999</v>
      </c>
      <c r="H43" s="284">
        <f t="shared" si="3"/>
        <v>1335</v>
      </c>
      <c r="I43" s="284">
        <f t="shared" si="3"/>
        <v>844.5</v>
      </c>
      <c r="L43" s="417"/>
      <c r="M43" s="417"/>
      <c r="N43" s="417"/>
      <c r="O43" s="417"/>
      <c r="P43" s="417"/>
      <c r="Q43" s="417"/>
      <c r="R43" s="417"/>
      <c r="S43" s="417"/>
      <c r="T43" s="417"/>
    </row>
    <row r="44" spans="1:20" ht="16.5" x14ac:dyDescent="0.3">
      <c r="A44" s="410">
        <v>6</v>
      </c>
      <c r="B44" s="284">
        <f t="shared" si="0"/>
        <v>2489.67</v>
      </c>
      <c r="C44" s="284">
        <f t="shared" si="0"/>
        <v>2190.92</v>
      </c>
      <c r="D44" s="287">
        <f t="shared" si="1"/>
        <v>1749.41</v>
      </c>
      <c r="E44" s="284">
        <f t="shared" si="2"/>
        <v>2108.75</v>
      </c>
      <c r="F44" s="284">
        <f t="shared" si="2"/>
        <v>1191</v>
      </c>
      <c r="G44" s="284">
        <f t="shared" si="2"/>
        <v>1313.26</v>
      </c>
      <c r="H44" s="284">
        <f t="shared" si="3"/>
        <v>1563</v>
      </c>
      <c r="I44" s="284">
        <f t="shared" si="3"/>
        <v>1008</v>
      </c>
      <c r="L44" s="417"/>
      <c r="M44" s="417"/>
      <c r="N44" s="417"/>
      <c r="O44" s="417"/>
      <c r="P44" s="417"/>
      <c r="Q44" s="417"/>
      <c r="R44" s="417"/>
      <c r="S44" s="417"/>
      <c r="T44" s="417"/>
    </row>
    <row r="45" spans="1:20" ht="16.5" x14ac:dyDescent="0.3">
      <c r="A45" s="410">
        <v>7</v>
      </c>
      <c r="B45" s="284">
        <f t="shared" si="0"/>
        <v>2725.39</v>
      </c>
      <c r="C45" s="284">
        <f t="shared" si="0"/>
        <v>2444.4700000000003</v>
      </c>
      <c r="D45" s="287">
        <f t="shared" si="1"/>
        <v>1985.47</v>
      </c>
      <c r="E45" s="284">
        <f t="shared" si="2"/>
        <v>2427.75</v>
      </c>
      <c r="F45" s="284">
        <f t="shared" si="2"/>
        <v>1361</v>
      </c>
      <c r="G45" s="284">
        <f t="shared" si="2"/>
        <v>1532.1399999999999</v>
      </c>
      <c r="H45" s="284">
        <f t="shared" si="3"/>
        <v>1791</v>
      </c>
      <c r="I45" s="284">
        <f t="shared" si="3"/>
        <v>1171.5</v>
      </c>
      <c r="L45" s="417"/>
      <c r="M45" s="417"/>
      <c r="N45" s="417"/>
      <c r="O45" s="417"/>
      <c r="P45" s="417"/>
      <c r="Q45" s="417"/>
      <c r="R45" s="417"/>
      <c r="S45" s="417"/>
      <c r="T45" s="417"/>
    </row>
    <row r="46" spans="1:20" ht="16.5" x14ac:dyDescent="0.3">
      <c r="A46" s="410">
        <v>8</v>
      </c>
      <c r="B46" s="284">
        <f t="shared" si="0"/>
        <v>2961.11</v>
      </c>
      <c r="C46" s="284">
        <f t="shared" si="0"/>
        <v>2698.02</v>
      </c>
      <c r="D46" s="287">
        <f t="shared" si="1"/>
        <v>2221.5300000000002</v>
      </c>
      <c r="E46" s="284">
        <f t="shared" si="2"/>
        <v>2746.75</v>
      </c>
      <c r="F46" s="284">
        <f t="shared" si="2"/>
        <v>1531</v>
      </c>
      <c r="G46" s="284">
        <f t="shared" si="2"/>
        <v>1751.01</v>
      </c>
      <c r="H46" s="284">
        <f t="shared" si="3"/>
        <v>2019</v>
      </c>
      <c r="I46" s="284">
        <f t="shared" si="3"/>
        <v>1335</v>
      </c>
      <c r="L46" s="417"/>
      <c r="M46" s="417"/>
      <c r="N46" s="417"/>
      <c r="O46" s="417"/>
      <c r="P46" s="417"/>
      <c r="Q46" s="417"/>
      <c r="R46" s="417"/>
      <c r="S46" s="417"/>
      <c r="T46" s="417"/>
    </row>
    <row r="47" spans="1:20" ht="16.5" x14ac:dyDescent="0.3">
      <c r="A47" s="410">
        <v>9</v>
      </c>
      <c r="B47" s="284">
        <f t="shared" si="0"/>
        <v>3196.8300000000004</v>
      </c>
      <c r="C47" s="284">
        <f t="shared" si="0"/>
        <v>2951.57</v>
      </c>
      <c r="D47" s="287">
        <f t="shared" si="1"/>
        <v>2457.59</v>
      </c>
      <c r="E47" s="284">
        <f t="shared" si="2"/>
        <v>3065.75</v>
      </c>
      <c r="F47" s="284">
        <f t="shared" si="2"/>
        <v>1701</v>
      </c>
      <c r="G47" s="284">
        <f t="shared" si="2"/>
        <v>1969.8899999999999</v>
      </c>
      <c r="H47" s="284">
        <f t="shared" si="3"/>
        <v>2247</v>
      </c>
      <c r="I47" s="284">
        <f t="shared" si="3"/>
        <v>1498.5</v>
      </c>
      <c r="L47" s="417"/>
      <c r="M47" s="417"/>
      <c r="N47" s="417"/>
      <c r="O47" s="417"/>
      <c r="P47" s="417"/>
      <c r="Q47" s="417"/>
      <c r="R47" s="417"/>
      <c r="S47" s="417"/>
      <c r="T47" s="417"/>
    </row>
    <row r="48" spans="1:20" ht="16.5" x14ac:dyDescent="0.3">
      <c r="A48" s="410">
        <v>10</v>
      </c>
      <c r="B48" s="284">
        <f t="shared" si="0"/>
        <v>3432.5499999999997</v>
      </c>
      <c r="C48" s="284">
        <f t="shared" si="0"/>
        <v>3205.12</v>
      </c>
      <c r="D48" s="287">
        <f t="shared" si="1"/>
        <v>2693.65</v>
      </c>
      <c r="E48" s="285">
        <f t="shared" si="2"/>
        <v>3384.75</v>
      </c>
      <c r="F48" s="285">
        <f t="shared" si="2"/>
        <v>1871</v>
      </c>
      <c r="G48" s="284">
        <f t="shared" si="2"/>
        <v>2188.7600000000002</v>
      </c>
      <c r="H48" s="284">
        <f t="shared" si="3"/>
        <v>2475</v>
      </c>
      <c r="I48" s="284">
        <f t="shared" si="3"/>
        <v>1639.5</v>
      </c>
      <c r="L48" s="417"/>
      <c r="M48" s="417"/>
      <c r="N48" s="417"/>
      <c r="O48" s="417"/>
      <c r="P48" s="417"/>
      <c r="Q48" s="417"/>
      <c r="R48" s="417"/>
      <c r="S48" s="417"/>
      <c r="T48" s="417"/>
    </row>
    <row r="49" spans="1:20" ht="16.5" x14ac:dyDescent="0.3">
      <c r="A49" s="410">
        <v>11</v>
      </c>
      <c r="B49" s="284">
        <f t="shared" si="0"/>
        <v>3668.27</v>
      </c>
      <c r="C49" s="284">
        <f t="shared" si="0"/>
        <v>3458.67</v>
      </c>
      <c r="D49" s="288">
        <f t="shared" si="1"/>
        <v>2929.71</v>
      </c>
      <c r="E49" s="285">
        <f t="shared" si="2"/>
        <v>3384.75</v>
      </c>
      <c r="F49" s="285">
        <f t="shared" si="2"/>
        <v>1871</v>
      </c>
      <c r="G49" s="284">
        <f t="shared" si="2"/>
        <v>2407.63</v>
      </c>
      <c r="H49" s="284">
        <f t="shared" si="3"/>
        <v>2669</v>
      </c>
      <c r="I49" s="284">
        <f t="shared" si="3"/>
        <v>1780.5</v>
      </c>
      <c r="L49" s="417"/>
      <c r="M49" s="417"/>
      <c r="N49" s="417"/>
      <c r="O49" s="417"/>
      <c r="P49" s="417"/>
      <c r="Q49" s="417"/>
      <c r="R49" s="417"/>
      <c r="S49" s="417"/>
      <c r="T49" s="417"/>
    </row>
    <row r="50" spans="1:20" ht="16.5" x14ac:dyDescent="0.3">
      <c r="A50" s="410">
        <v>12</v>
      </c>
      <c r="B50" s="284">
        <f t="shared" si="0"/>
        <v>3903.99</v>
      </c>
      <c r="C50" s="285">
        <f t="shared" si="0"/>
        <v>3712.22</v>
      </c>
      <c r="D50" s="288">
        <f t="shared" si="1"/>
        <v>2929.71</v>
      </c>
      <c r="E50" s="285">
        <f t="shared" si="2"/>
        <v>3384.75</v>
      </c>
      <c r="F50" s="285">
        <f t="shared" si="2"/>
        <v>1871</v>
      </c>
      <c r="G50" s="285">
        <f t="shared" si="2"/>
        <v>2626.5</v>
      </c>
      <c r="H50" s="285">
        <f t="shared" si="3"/>
        <v>2863</v>
      </c>
      <c r="I50" s="285">
        <f t="shared" si="3"/>
        <v>1921.5</v>
      </c>
      <c r="L50" s="417"/>
      <c r="M50" s="417"/>
      <c r="N50" s="417"/>
      <c r="O50" s="417"/>
      <c r="P50" s="417"/>
      <c r="Q50" s="417"/>
      <c r="R50" s="417"/>
      <c r="S50" s="417"/>
      <c r="T50" s="417"/>
    </row>
    <row r="51" spans="1:20" ht="16.5" x14ac:dyDescent="0.3">
      <c r="A51" s="410">
        <v>13</v>
      </c>
      <c r="B51" s="284">
        <f t="shared" si="0"/>
        <v>4139.71</v>
      </c>
      <c r="C51" s="285">
        <f t="shared" si="0"/>
        <v>3712.22</v>
      </c>
      <c r="D51" s="288">
        <f t="shared" si="1"/>
        <v>2929.71</v>
      </c>
      <c r="E51" s="285">
        <f t="shared" si="2"/>
        <v>3384.75</v>
      </c>
      <c r="F51" s="285">
        <f t="shared" si="2"/>
        <v>1871</v>
      </c>
      <c r="G51" s="285">
        <f t="shared" si="2"/>
        <v>2626.5</v>
      </c>
      <c r="H51" s="285">
        <f t="shared" si="3"/>
        <v>2863</v>
      </c>
      <c r="I51" s="285">
        <f t="shared" si="3"/>
        <v>1921.5</v>
      </c>
      <c r="L51" s="417"/>
      <c r="M51" s="417"/>
      <c r="N51" s="417"/>
      <c r="O51" s="417"/>
      <c r="P51" s="417"/>
      <c r="Q51" s="417"/>
      <c r="R51" s="417"/>
      <c r="S51" s="417"/>
      <c r="T51" s="417"/>
    </row>
    <row r="52" spans="1:20" ht="16.5" x14ac:dyDescent="0.3">
      <c r="A52" s="410">
        <v>14</v>
      </c>
      <c r="B52" s="284">
        <f t="shared" si="0"/>
        <v>4375.43</v>
      </c>
      <c r="C52" s="285">
        <f t="shared" si="0"/>
        <v>3712.22</v>
      </c>
      <c r="D52" s="288">
        <f t="shared" si="1"/>
        <v>2929.71</v>
      </c>
      <c r="E52" s="285">
        <f t="shared" si="2"/>
        <v>3384.75</v>
      </c>
      <c r="F52" s="285">
        <f t="shared" si="2"/>
        <v>1871</v>
      </c>
      <c r="G52" s="285">
        <f t="shared" si="2"/>
        <v>2626.5</v>
      </c>
      <c r="H52" s="285">
        <f t="shared" si="3"/>
        <v>2863</v>
      </c>
      <c r="I52" s="285">
        <f t="shared" si="3"/>
        <v>1921.5</v>
      </c>
      <c r="L52" s="417"/>
      <c r="M52" s="417"/>
      <c r="N52" s="417"/>
      <c r="O52" s="417"/>
      <c r="P52" s="417"/>
      <c r="Q52" s="417"/>
      <c r="R52" s="417"/>
      <c r="S52" s="417"/>
      <c r="T52" s="417"/>
    </row>
    <row r="53" spans="1:20" ht="16.5" x14ac:dyDescent="0.3">
      <c r="A53" s="410">
        <v>15</v>
      </c>
      <c r="B53" s="284">
        <f t="shared" si="0"/>
        <v>4611.1499999999996</v>
      </c>
      <c r="C53" s="285">
        <f t="shared" si="0"/>
        <v>3712.22</v>
      </c>
      <c r="D53" s="288">
        <f t="shared" si="1"/>
        <v>2929.71</v>
      </c>
      <c r="E53" s="285">
        <f t="shared" si="2"/>
        <v>3384.75</v>
      </c>
      <c r="F53" s="285">
        <f t="shared" si="2"/>
        <v>1871</v>
      </c>
      <c r="G53" s="285">
        <f t="shared" si="2"/>
        <v>2626.5</v>
      </c>
      <c r="H53" s="285">
        <f t="shared" si="3"/>
        <v>2863</v>
      </c>
      <c r="I53" s="285">
        <f t="shared" si="3"/>
        <v>1921.5</v>
      </c>
      <c r="L53" s="417"/>
      <c r="M53" s="417"/>
      <c r="N53" s="417"/>
      <c r="O53" s="417"/>
      <c r="P53" s="417"/>
      <c r="Q53" s="417"/>
      <c r="R53" s="417"/>
      <c r="S53" s="417"/>
      <c r="T53" s="417"/>
    </row>
    <row r="54" spans="1:20" ht="16.5" x14ac:dyDescent="0.3">
      <c r="A54" s="410">
        <v>16</v>
      </c>
      <c r="B54" s="284">
        <f t="shared" si="0"/>
        <v>4840.22</v>
      </c>
      <c r="C54" s="285">
        <f t="shared" si="0"/>
        <v>3712.22</v>
      </c>
      <c r="D54" s="288">
        <f t="shared" si="1"/>
        <v>2929.71</v>
      </c>
      <c r="E54" s="285">
        <f t="shared" si="2"/>
        <v>3384.75</v>
      </c>
      <c r="F54" s="285">
        <f t="shared" si="2"/>
        <v>1871</v>
      </c>
      <c r="G54" s="285">
        <f t="shared" si="2"/>
        <v>2626.5</v>
      </c>
      <c r="H54" s="285">
        <f t="shared" si="3"/>
        <v>2863</v>
      </c>
      <c r="I54" s="285">
        <f t="shared" si="3"/>
        <v>1921.5</v>
      </c>
      <c r="L54" s="417"/>
      <c r="M54" s="417"/>
      <c r="N54" s="417"/>
      <c r="O54" s="417"/>
      <c r="P54" s="417"/>
      <c r="Q54" s="417"/>
      <c r="R54" s="417"/>
      <c r="S54" s="417"/>
      <c r="T54" s="417"/>
    </row>
    <row r="55" spans="1:20" ht="16.5" x14ac:dyDescent="0.3">
      <c r="A55" s="410">
        <v>17</v>
      </c>
      <c r="B55" s="284">
        <f t="shared" ref="B55:C63" si="4">B23+L23</f>
        <v>5069.29</v>
      </c>
      <c r="C55" s="285">
        <f t="shared" si="4"/>
        <v>3712.22</v>
      </c>
      <c r="D55" s="288">
        <f t="shared" si="1"/>
        <v>2929.71</v>
      </c>
      <c r="E55" s="285">
        <f t="shared" ref="E55:G63" si="5">E23+O23</f>
        <v>3384.75</v>
      </c>
      <c r="F55" s="285">
        <f t="shared" si="5"/>
        <v>1871</v>
      </c>
      <c r="G55" s="285">
        <f t="shared" si="5"/>
        <v>2626.5</v>
      </c>
      <c r="H55" s="285">
        <f t="shared" ref="H55:I63" si="6">H23+S23</f>
        <v>2863</v>
      </c>
      <c r="I55" s="285">
        <f t="shared" si="6"/>
        <v>1921.5</v>
      </c>
      <c r="L55" s="417"/>
      <c r="M55" s="417"/>
      <c r="N55" s="417"/>
      <c r="O55" s="417"/>
      <c r="P55" s="417"/>
      <c r="Q55" s="417"/>
      <c r="R55" s="417"/>
      <c r="S55" s="417"/>
      <c r="T55" s="417"/>
    </row>
    <row r="56" spans="1:20" ht="16.5" x14ac:dyDescent="0.3">
      <c r="A56" s="410">
        <v>18</v>
      </c>
      <c r="B56" s="284">
        <f t="shared" si="4"/>
        <v>5298.36</v>
      </c>
      <c r="C56" s="285">
        <f t="shared" si="4"/>
        <v>3712.22</v>
      </c>
      <c r="D56" s="288">
        <f t="shared" si="1"/>
        <v>2929.71</v>
      </c>
      <c r="E56" s="285">
        <f t="shared" si="5"/>
        <v>3384.75</v>
      </c>
      <c r="F56" s="285">
        <f t="shared" si="5"/>
        <v>1871</v>
      </c>
      <c r="G56" s="285">
        <f t="shared" si="5"/>
        <v>2626.5</v>
      </c>
      <c r="H56" s="285">
        <f t="shared" si="6"/>
        <v>2863</v>
      </c>
      <c r="I56" s="285">
        <f t="shared" si="6"/>
        <v>1921.5</v>
      </c>
      <c r="L56" s="417"/>
      <c r="M56" s="417"/>
      <c r="N56" s="417"/>
      <c r="O56" s="417"/>
      <c r="P56" s="417"/>
      <c r="Q56" s="417"/>
      <c r="R56" s="417"/>
      <c r="S56" s="417"/>
      <c r="T56" s="417"/>
    </row>
    <row r="57" spans="1:20" ht="16.5" x14ac:dyDescent="0.3">
      <c r="A57" s="410">
        <v>19</v>
      </c>
      <c r="B57" s="284">
        <f t="shared" si="4"/>
        <v>5527.43</v>
      </c>
      <c r="C57" s="284">
        <f t="shared" si="4"/>
        <v>3965.77</v>
      </c>
      <c r="D57" s="287">
        <f t="shared" si="1"/>
        <v>3130.2799999999997</v>
      </c>
      <c r="E57" s="286">
        <f t="shared" si="5"/>
        <v>3666.75</v>
      </c>
      <c r="F57" s="285">
        <f t="shared" si="5"/>
        <v>1871</v>
      </c>
      <c r="G57" s="285">
        <f t="shared" si="5"/>
        <v>2626.5</v>
      </c>
      <c r="H57" s="284">
        <f t="shared" si="6"/>
        <v>3057</v>
      </c>
      <c r="I57" s="284">
        <f t="shared" si="6"/>
        <v>2062.5</v>
      </c>
      <c r="L57" s="417"/>
      <c r="M57" s="417"/>
      <c r="N57" s="417"/>
      <c r="O57" s="417"/>
      <c r="P57" s="417"/>
      <c r="Q57" s="417"/>
      <c r="R57" s="417"/>
      <c r="S57" s="417"/>
      <c r="T57" s="417"/>
    </row>
    <row r="58" spans="1:20" ht="16.5" x14ac:dyDescent="0.3">
      <c r="A58" s="410">
        <v>20</v>
      </c>
      <c r="B58" s="284">
        <f t="shared" si="4"/>
        <v>5756.5</v>
      </c>
      <c r="C58" s="284">
        <f t="shared" si="4"/>
        <v>4219.32</v>
      </c>
      <c r="D58" s="287">
        <f t="shared" si="1"/>
        <v>3330.85</v>
      </c>
      <c r="E58" s="286">
        <f t="shared" si="5"/>
        <v>3948.75</v>
      </c>
      <c r="F58" s="285">
        <f t="shared" si="5"/>
        <v>1871</v>
      </c>
      <c r="G58" s="285">
        <f t="shared" si="5"/>
        <v>2626.5</v>
      </c>
      <c r="H58" s="284">
        <f t="shared" si="6"/>
        <v>3251</v>
      </c>
      <c r="I58" s="284">
        <f t="shared" si="6"/>
        <v>2203.5</v>
      </c>
      <c r="L58" s="417"/>
      <c r="M58" s="417"/>
      <c r="N58" s="417"/>
      <c r="O58" s="417"/>
      <c r="P58" s="417"/>
      <c r="Q58" s="417"/>
      <c r="R58" s="417"/>
      <c r="S58" s="417"/>
      <c r="T58" s="417"/>
    </row>
    <row r="59" spans="1:20" ht="16.5" x14ac:dyDescent="0.3">
      <c r="A59" s="410">
        <v>21</v>
      </c>
      <c r="B59" s="284">
        <f t="shared" si="4"/>
        <v>5985.5700000000006</v>
      </c>
      <c r="C59" s="284">
        <f t="shared" si="4"/>
        <v>4472.87</v>
      </c>
      <c r="D59" s="287">
        <f t="shared" si="1"/>
        <v>3531.42</v>
      </c>
      <c r="E59" s="284">
        <f t="shared" si="5"/>
        <v>4230.75</v>
      </c>
      <c r="F59" s="284">
        <f t="shared" si="5"/>
        <v>2021</v>
      </c>
      <c r="G59" s="284">
        <f t="shared" si="5"/>
        <v>2812.25</v>
      </c>
      <c r="H59" s="284">
        <f t="shared" si="6"/>
        <v>3445</v>
      </c>
      <c r="I59" s="284">
        <f t="shared" si="6"/>
        <v>2344.5</v>
      </c>
      <c r="L59" s="417"/>
      <c r="M59" s="417"/>
      <c r="N59" s="417"/>
      <c r="O59" s="417"/>
      <c r="P59" s="417"/>
      <c r="Q59" s="417"/>
      <c r="R59" s="417"/>
      <c r="S59" s="417"/>
      <c r="T59" s="417"/>
    </row>
    <row r="60" spans="1:20" ht="16.5" x14ac:dyDescent="0.3">
      <c r="A60" s="410">
        <v>22</v>
      </c>
      <c r="B60" s="284">
        <f t="shared" si="4"/>
        <v>6214.64</v>
      </c>
      <c r="C60" s="284">
        <f t="shared" si="4"/>
        <v>4726.42</v>
      </c>
      <c r="D60" s="287">
        <f t="shared" si="1"/>
        <v>3731.99</v>
      </c>
      <c r="E60" s="284">
        <f t="shared" si="5"/>
        <v>4512.75</v>
      </c>
      <c r="F60" s="284">
        <f t="shared" si="5"/>
        <v>2171</v>
      </c>
      <c r="G60" s="284">
        <f t="shared" si="5"/>
        <v>2998</v>
      </c>
      <c r="H60" s="284">
        <f t="shared" si="6"/>
        <v>3639</v>
      </c>
      <c r="I60" s="284">
        <f t="shared" si="6"/>
        <v>2485.5</v>
      </c>
      <c r="L60" s="417"/>
      <c r="M60" s="417"/>
      <c r="N60" s="417"/>
      <c r="O60" s="417"/>
      <c r="P60" s="417"/>
      <c r="Q60" s="417"/>
      <c r="R60" s="417"/>
      <c r="S60" s="417"/>
      <c r="T60" s="417"/>
    </row>
    <row r="61" spans="1:20" ht="16.5" x14ac:dyDescent="0.3">
      <c r="A61" s="410">
        <v>23</v>
      </c>
      <c r="B61" s="284">
        <f t="shared" si="4"/>
        <v>6443.71</v>
      </c>
      <c r="C61" s="284">
        <f t="shared" si="4"/>
        <v>4979.97</v>
      </c>
      <c r="D61" s="287">
        <f t="shared" si="1"/>
        <v>3932.56</v>
      </c>
      <c r="E61" s="284">
        <f t="shared" si="5"/>
        <v>4794.75</v>
      </c>
      <c r="F61" s="284">
        <f t="shared" si="5"/>
        <v>2321</v>
      </c>
      <c r="G61" s="284">
        <f t="shared" si="5"/>
        <v>3183.75</v>
      </c>
      <c r="H61" s="284">
        <f t="shared" si="6"/>
        <v>3833</v>
      </c>
      <c r="I61" s="284">
        <f t="shared" si="6"/>
        <v>2626.5</v>
      </c>
      <c r="L61" s="417"/>
      <c r="M61" s="417"/>
      <c r="N61" s="417"/>
      <c r="O61" s="417"/>
      <c r="P61" s="417"/>
      <c r="Q61" s="417"/>
      <c r="R61" s="417"/>
      <c r="S61" s="417"/>
      <c r="T61" s="417"/>
    </row>
    <row r="62" spans="1:20" ht="16.5" x14ac:dyDescent="0.3">
      <c r="A62" s="410">
        <v>24</v>
      </c>
      <c r="B62" s="284">
        <f t="shared" si="4"/>
        <v>6672.7800000000007</v>
      </c>
      <c r="C62" s="284">
        <f t="shared" si="4"/>
        <v>5233.5200000000004</v>
      </c>
      <c r="D62" s="287">
        <f t="shared" si="1"/>
        <v>4133.13</v>
      </c>
      <c r="E62" s="284">
        <f t="shared" si="5"/>
        <v>5076.75</v>
      </c>
      <c r="F62" s="284">
        <f t="shared" si="5"/>
        <v>2471</v>
      </c>
      <c r="G62" s="284">
        <f t="shared" si="5"/>
        <v>3369.5</v>
      </c>
      <c r="H62" s="284">
        <f t="shared" si="6"/>
        <v>4027</v>
      </c>
      <c r="I62" s="284">
        <f t="shared" si="6"/>
        <v>2767.5</v>
      </c>
      <c r="L62" s="417"/>
      <c r="M62" s="417"/>
      <c r="N62" s="417"/>
      <c r="O62" s="417"/>
      <c r="P62" s="417"/>
      <c r="Q62" s="417"/>
      <c r="R62" s="417"/>
      <c r="S62" s="417"/>
      <c r="T62" s="417"/>
    </row>
    <row r="63" spans="1:20" ht="16.5" x14ac:dyDescent="0.3">
      <c r="A63" s="410">
        <v>25</v>
      </c>
      <c r="B63" s="284">
        <f t="shared" si="4"/>
        <v>6901.85</v>
      </c>
      <c r="C63" s="284">
        <f t="shared" si="4"/>
        <v>5487.07</v>
      </c>
      <c r="D63" s="287">
        <f t="shared" si="1"/>
        <v>4333.7</v>
      </c>
      <c r="E63" s="284">
        <f t="shared" si="5"/>
        <v>5358.75</v>
      </c>
      <c r="F63" s="284">
        <f t="shared" si="5"/>
        <v>2621</v>
      </c>
      <c r="G63" s="284">
        <f t="shared" si="5"/>
        <v>3555.25</v>
      </c>
      <c r="H63" s="284">
        <f t="shared" si="6"/>
        <v>4221</v>
      </c>
      <c r="I63" s="284">
        <f t="shared" si="6"/>
        <v>2908.5</v>
      </c>
      <c r="L63" s="417"/>
      <c r="M63" s="417"/>
      <c r="N63" s="417"/>
      <c r="O63" s="417"/>
      <c r="P63" s="417"/>
      <c r="Q63" s="417"/>
      <c r="R63" s="417"/>
      <c r="S63" s="417"/>
      <c r="T63" s="417"/>
    </row>
    <row r="64" spans="1:20" ht="4.5" customHeight="1" x14ac:dyDescent="0.2">
      <c r="B64" s="112"/>
      <c r="C64" s="112"/>
      <c r="D64" s="112"/>
      <c r="E64" s="112"/>
      <c r="F64" s="112"/>
      <c r="G64" s="112"/>
      <c r="H64" s="112"/>
      <c r="I64" s="112"/>
    </row>
    <row r="65" spans="1:3" x14ac:dyDescent="0.2">
      <c r="A65" s="418" t="s">
        <v>681</v>
      </c>
      <c r="B65" s="419"/>
      <c r="C65" s="419"/>
    </row>
    <row r="66" spans="1:3" x14ac:dyDescent="0.2">
      <c r="A66" s="418" t="s">
        <v>682</v>
      </c>
      <c r="B66" s="419"/>
      <c r="C66" s="419"/>
    </row>
    <row r="67" spans="1:3" ht="15" x14ac:dyDescent="0.2">
      <c r="A67" s="401" t="s">
        <v>683</v>
      </c>
    </row>
  </sheetData>
  <pageMargins left="0.6" right="0.25" top="0.25" bottom="0" header="0.5" footer="0"/>
  <pageSetup scale="55" firstPageNumber="2" orientation="portrait" useFirstPageNumber="1" r:id="rId1"/>
  <headerFooter alignWithMargins="0">
    <oddFooter>&amp;C&amp;P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J145"/>
  <sheetViews>
    <sheetView view="pageBreakPreview" zoomScaleNormal="120" zoomScaleSheetLayoutView="100" workbookViewId="0">
      <selection activeCell="CJ50" sqref="CJ50"/>
    </sheetView>
  </sheetViews>
  <sheetFormatPr defaultColWidth="9.140625" defaultRowHeight="12.75" x14ac:dyDescent="0.2"/>
  <cols>
    <col min="1" max="1" width="10.42578125" style="424" customWidth="1"/>
    <col min="2" max="2" width="5.7109375" style="424" hidden="1" customWidth="1"/>
    <col min="3" max="3" width="6" style="424" hidden="1" customWidth="1"/>
    <col min="4" max="4" width="5.7109375" style="424" hidden="1" customWidth="1"/>
    <col min="5" max="5" width="6" style="424" hidden="1" customWidth="1"/>
    <col min="6" max="6" width="5.7109375" style="424" hidden="1" customWidth="1"/>
    <col min="7" max="7" width="6" style="424" hidden="1" customWidth="1"/>
    <col min="8" max="8" width="5.7109375" style="424" hidden="1" customWidth="1"/>
    <col min="9" max="9" width="6" style="424" hidden="1" customWidth="1"/>
    <col min="10" max="10" width="5.7109375" style="424" hidden="1" customWidth="1"/>
    <col min="11" max="11" width="6" style="424" hidden="1" customWidth="1"/>
    <col min="12" max="12" width="5.7109375" style="424" hidden="1" customWidth="1"/>
    <col min="13" max="13" width="6" style="424" hidden="1" customWidth="1"/>
    <col min="14" max="14" width="5.7109375" style="424" hidden="1" customWidth="1"/>
    <col min="15" max="15" width="6" style="424" hidden="1" customWidth="1"/>
    <col min="16" max="16" width="5.7109375" style="424" hidden="1" customWidth="1"/>
    <col min="17" max="17" width="6" style="424" hidden="1" customWidth="1"/>
    <col min="18" max="18" width="5.7109375" style="424" hidden="1" customWidth="1"/>
    <col min="19" max="21" width="6" style="424" hidden="1" customWidth="1"/>
    <col min="22" max="22" width="5.7109375" style="429" hidden="1" customWidth="1"/>
    <col min="23" max="23" width="6" style="429" hidden="1" customWidth="1"/>
    <col min="24" max="24" width="5.7109375" style="429" hidden="1" customWidth="1"/>
    <col min="25" max="25" width="6" style="429" hidden="1" customWidth="1"/>
    <col min="26" max="26" width="5.7109375" style="429" hidden="1" customWidth="1"/>
    <col min="27" max="27" width="6" style="429" hidden="1" customWidth="1"/>
    <col min="28" max="28" width="5.7109375" style="424" hidden="1" customWidth="1"/>
    <col min="29" max="29" width="6" style="424" hidden="1" customWidth="1"/>
    <col min="30" max="30" width="5.7109375" style="424" hidden="1" customWidth="1"/>
    <col min="31" max="31" width="6" style="424" hidden="1" customWidth="1"/>
    <col min="32" max="32" width="5.7109375" style="424" hidden="1" customWidth="1"/>
    <col min="33" max="33" width="6" style="424" hidden="1" customWidth="1"/>
    <col min="34" max="34" width="5.7109375" style="430" hidden="1" customWidth="1"/>
    <col min="35" max="35" width="6.140625" style="430" hidden="1" customWidth="1"/>
    <col min="36" max="36" width="1.7109375" style="430" hidden="1" customWidth="1"/>
    <col min="37" max="37" width="5.7109375" style="430" hidden="1" customWidth="1"/>
    <col min="38" max="38" width="6.140625" style="430" hidden="1" customWidth="1"/>
    <col min="39" max="39" width="5.7109375" style="430" hidden="1" customWidth="1"/>
    <col min="40" max="40" width="6.140625" style="430" hidden="1" customWidth="1"/>
    <col min="41" max="41" width="5.7109375" style="430" hidden="1" customWidth="1"/>
    <col min="42" max="42" width="6.140625" style="430" hidden="1" customWidth="1"/>
    <col min="43" max="43" width="5.7109375" style="430" hidden="1" customWidth="1"/>
    <col min="44" max="44" width="6.140625" style="430" hidden="1" customWidth="1"/>
    <col min="45" max="45" width="5.7109375" style="430" hidden="1" customWidth="1"/>
    <col min="46" max="46" width="6.140625" style="430" hidden="1" customWidth="1"/>
    <col min="47" max="47" width="5.7109375" style="430" hidden="1" customWidth="1"/>
    <col min="48" max="48" width="6.140625" style="430" hidden="1" customWidth="1"/>
    <col min="49" max="49" width="7.5703125" style="430" hidden="1" customWidth="1"/>
    <col min="50" max="50" width="6.140625" style="430" hidden="1" customWidth="1"/>
    <col min="51" max="51" width="7.5703125" style="430" hidden="1" customWidth="1"/>
    <col min="52" max="52" width="6.140625" style="430" hidden="1" customWidth="1"/>
    <col min="53" max="53" width="7.5703125" style="430" hidden="1" customWidth="1"/>
    <col min="54" max="55" width="7.5703125" style="431" hidden="1" customWidth="1"/>
    <col min="56" max="56" width="7.7109375" style="424" hidden="1" customWidth="1"/>
    <col min="57" max="57" width="7.5703125" style="431" hidden="1" customWidth="1"/>
    <col min="58" max="58" width="6.42578125" style="424" hidden="1" customWidth="1"/>
    <col min="59" max="59" width="7.5703125" style="431" hidden="1" customWidth="1"/>
    <col min="60" max="60" width="6.42578125" style="424" hidden="1" customWidth="1"/>
    <col min="61" max="61" width="7.5703125" style="431" hidden="1" customWidth="1"/>
    <col min="62" max="62" width="6.42578125" style="424" hidden="1" customWidth="1"/>
    <col min="63" max="63" width="7.5703125" style="431" hidden="1" customWidth="1"/>
    <col min="64" max="64" width="6.42578125" style="424" hidden="1" customWidth="1"/>
    <col min="65" max="65" width="7.5703125" style="431" hidden="1" customWidth="1"/>
    <col min="66" max="66" width="6.42578125" style="424" hidden="1" customWidth="1"/>
    <col min="67" max="67" width="7.5703125" style="424" customWidth="1"/>
    <col min="68" max="68" width="6.42578125" style="424" customWidth="1"/>
    <col min="69" max="69" width="7.5703125" style="424" customWidth="1"/>
    <col min="70" max="70" width="6.42578125" style="424" customWidth="1"/>
    <col min="71" max="71" width="7.5703125" style="431" customWidth="1"/>
    <col min="72" max="72" width="6.42578125" style="424" customWidth="1"/>
    <col min="73" max="73" width="7.5703125" style="431" customWidth="1"/>
    <col min="74" max="74" width="6.42578125" style="424" customWidth="1"/>
    <col min="75" max="75" width="7.5703125" style="431" customWidth="1"/>
    <col min="76" max="76" width="6.42578125" style="424" customWidth="1"/>
    <col min="77" max="77" width="7.5703125" style="431" customWidth="1"/>
    <col min="78" max="78" width="6.42578125" style="424" customWidth="1"/>
    <col min="79" max="79" width="7.5703125" style="431" customWidth="1"/>
    <col min="80" max="80" width="6.42578125" style="424" customWidth="1"/>
    <col min="81" max="81" width="7.5703125" style="424" customWidth="1"/>
    <col min="82" max="82" width="6.42578125" style="424" customWidth="1"/>
    <col min="83" max="83" width="7.5703125" style="424" customWidth="1"/>
    <col min="84" max="84" width="6.42578125" style="424" customWidth="1"/>
    <col min="85" max="85" width="7.5703125" style="424" customWidth="1"/>
    <col min="86" max="86" width="6.42578125" style="424" customWidth="1"/>
    <col min="87" max="87" width="8.7109375" style="424" customWidth="1"/>
    <col min="88" max="238" width="11.7109375" style="424" customWidth="1"/>
    <col min="239" max="16384" width="9.140625" style="424"/>
  </cols>
  <sheetData>
    <row r="1" spans="1:244" ht="16.5" thickBot="1" x14ac:dyDescent="0.3">
      <c r="A1" s="399" t="s">
        <v>684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  <c r="U1" s="420"/>
      <c r="V1" s="421"/>
      <c r="W1" s="421"/>
      <c r="X1" s="421"/>
      <c r="Y1" s="421"/>
      <c r="Z1" s="421"/>
      <c r="AA1" s="421"/>
      <c r="AB1" s="420"/>
      <c r="AC1" s="420"/>
      <c r="AD1" s="420"/>
      <c r="AE1" s="420"/>
      <c r="AF1" s="420"/>
      <c r="AG1" s="420"/>
      <c r="AH1" s="422"/>
      <c r="AI1" s="422"/>
      <c r="AJ1" s="422"/>
      <c r="AK1" s="422"/>
      <c r="AL1" s="422"/>
      <c r="AM1" s="422"/>
      <c r="AN1" s="422"/>
      <c r="AO1" s="422"/>
      <c r="AP1" s="422"/>
      <c r="AQ1" s="422"/>
      <c r="AR1" s="422"/>
      <c r="AS1" s="422"/>
      <c r="AT1" s="422"/>
      <c r="AU1" s="422"/>
      <c r="AV1" s="422"/>
      <c r="AW1" s="422"/>
      <c r="AX1" s="422"/>
      <c r="AY1" s="422"/>
      <c r="AZ1" s="422"/>
      <c r="BA1" s="422"/>
      <c r="BB1" s="423"/>
      <c r="BC1" s="423"/>
      <c r="BD1" s="420"/>
      <c r="BE1" s="423"/>
      <c r="BF1" s="420"/>
      <c r="BG1" s="423"/>
      <c r="BH1" s="420"/>
      <c r="BI1" s="423"/>
      <c r="BJ1" s="420"/>
      <c r="BK1" s="423"/>
      <c r="BL1" s="420"/>
      <c r="BM1" s="423"/>
      <c r="BN1" s="420"/>
      <c r="BO1" s="420"/>
      <c r="BP1" s="420"/>
      <c r="BQ1" s="420"/>
      <c r="BR1" s="420"/>
      <c r="BS1" s="423"/>
      <c r="BT1" s="420"/>
      <c r="BU1" s="423"/>
      <c r="BV1" s="420"/>
      <c r="BW1" s="423"/>
      <c r="BX1" s="420"/>
      <c r="BY1" s="423"/>
      <c r="BZ1" s="420"/>
      <c r="CA1" s="423"/>
      <c r="CB1" s="420"/>
      <c r="CC1" s="420"/>
      <c r="CD1" s="420"/>
      <c r="CE1" s="420"/>
      <c r="CF1" s="420"/>
      <c r="CG1" s="420"/>
      <c r="CH1" s="420"/>
    </row>
    <row r="2" spans="1:244" ht="15.75" x14ac:dyDescent="0.25">
      <c r="A2" s="402" t="s">
        <v>685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6"/>
      <c r="W2" s="426"/>
      <c r="X2" s="426"/>
      <c r="Y2" s="426"/>
      <c r="Z2" s="426"/>
      <c r="AA2" s="426"/>
      <c r="AB2" s="425"/>
      <c r="AC2" s="425"/>
      <c r="AD2" s="425"/>
      <c r="AE2" s="425"/>
      <c r="AF2" s="425"/>
      <c r="AG2" s="425"/>
      <c r="AH2" s="427"/>
      <c r="AI2" s="427"/>
      <c r="AJ2" s="427"/>
      <c r="AK2" s="427"/>
      <c r="AL2" s="427"/>
      <c r="AM2" s="427"/>
      <c r="AN2" s="427"/>
      <c r="AO2" s="427"/>
      <c r="AP2" s="427"/>
      <c r="AQ2" s="427"/>
      <c r="AR2" s="427"/>
      <c r="AS2" s="427"/>
      <c r="AT2" s="427"/>
      <c r="AU2" s="427"/>
      <c r="AV2" s="427"/>
      <c r="AW2" s="427"/>
      <c r="AX2" s="427"/>
      <c r="AY2" s="427"/>
      <c r="AZ2" s="427"/>
      <c r="BA2" s="427"/>
      <c r="BB2" s="428"/>
      <c r="BC2" s="428"/>
      <c r="BD2" s="425"/>
      <c r="BE2" s="428"/>
      <c r="BF2" s="425"/>
      <c r="BG2" s="428"/>
      <c r="BH2" s="425"/>
      <c r="BI2" s="428"/>
      <c r="BJ2" s="425"/>
      <c r="BK2" s="428"/>
      <c r="BL2" s="425"/>
      <c r="BM2" s="428"/>
      <c r="BN2" s="425"/>
      <c r="BO2" s="425"/>
      <c r="BP2" s="425"/>
      <c r="BQ2" s="425"/>
      <c r="BR2" s="425"/>
      <c r="BS2" s="428"/>
      <c r="BT2" s="425"/>
      <c r="BU2" s="428"/>
      <c r="BV2" s="425"/>
      <c r="BW2" s="428"/>
      <c r="BX2" s="425"/>
      <c r="BY2" s="428"/>
      <c r="BZ2" s="425"/>
      <c r="CA2" s="428"/>
      <c r="CB2" s="425"/>
      <c r="CC2" s="425"/>
      <c r="CD2" s="425"/>
      <c r="CE2" s="425"/>
      <c r="CF2" s="425"/>
      <c r="CG2" s="425"/>
      <c r="CH2" s="425"/>
    </row>
    <row r="3" spans="1:244" x14ac:dyDescent="0.2">
      <c r="A3" s="404" t="s">
        <v>921</v>
      </c>
    </row>
    <row r="4" spans="1:244" x14ac:dyDescent="0.2">
      <c r="A4" s="406"/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426"/>
      <c r="W4" s="426"/>
      <c r="X4" s="426"/>
      <c r="Y4" s="426"/>
      <c r="Z4" s="426"/>
      <c r="AA4" s="426"/>
      <c r="AB4" s="425"/>
      <c r="AC4" s="425"/>
      <c r="AD4" s="425"/>
      <c r="AE4" s="425"/>
      <c r="AF4" s="425"/>
      <c r="AG4" s="425"/>
      <c r="AH4" s="427"/>
      <c r="AI4" s="427"/>
      <c r="AJ4" s="427"/>
      <c r="AK4" s="427"/>
      <c r="AL4" s="427"/>
      <c r="AM4" s="427"/>
      <c r="AN4" s="427"/>
      <c r="AO4" s="427"/>
      <c r="AP4" s="427"/>
      <c r="AQ4" s="427"/>
      <c r="AR4" s="427"/>
      <c r="AS4" s="427"/>
      <c r="AT4" s="427"/>
      <c r="AU4" s="427"/>
      <c r="AV4" s="427"/>
      <c r="AW4" s="427"/>
      <c r="AX4" s="427"/>
      <c r="AY4" s="427"/>
      <c r="AZ4" s="427"/>
      <c r="BA4" s="427"/>
      <c r="BB4" s="428"/>
      <c r="BC4" s="428"/>
      <c r="BD4" s="425"/>
      <c r="BE4" s="428"/>
      <c r="BF4" s="425"/>
      <c r="BG4" s="428"/>
      <c r="BH4" s="425"/>
      <c r="BI4" s="428"/>
      <c r="BJ4" s="425"/>
      <c r="BK4" s="428"/>
      <c r="BL4" s="425"/>
      <c r="BM4" s="428"/>
      <c r="BN4" s="425"/>
      <c r="BO4" s="425"/>
      <c r="BP4" s="425"/>
      <c r="BQ4" s="425"/>
      <c r="BR4" s="425"/>
      <c r="BS4" s="428"/>
      <c r="BT4" s="425"/>
      <c r="BU4" s="428"/>
      <c r="BV4" s="425"/>
      <c r="BW4" s="428"/>
      <c r="BX4" s="425"/>
      <c r="BY4" s="428"/>
      <c r="BZ4" s="425"/>
      <c r="CA4" s="428"/>
      <c r="CB4" s="425"/>
      <c r="CC4" s="425"/>
      <c r="CD4" s="425"/>
      <c r="CE4" s="425"/>
      <c r="CF4" s="425"/>
      <c r="CG4" s="425"/>
      <c r="CH4" s="425"/>
    </row>
    <row r="5" spans="1:244" x14ac:dyDescent="0.2">
      <c r="A5" s="432"/>
      <c r="B5" s="433" t="s">
        <v>686</v>
      </c>
      <c r="C5" s="434"/>
      <c r="D5" s="434" t="s">
        <v>687</v>
      </c>
      <c r="E5" s="434"/>
      <c r="F5" s="434" t="s">
        <v>688</v>
      </c>
      <c r="G5" s="434"/>
      <c r="H5" s="434" t="s">
        <v>689</v>
      </c>
      <c r="I5" s="434"/>
      <c r="J5" s="434" t="s">
        <v>690</v>
      </c>
      <c r="K5" s="434"/>
      <c r="L5" s="434" t="s">
        <v>691</v>
      </c>
      <c r="M5" s="434"/>
      <c r="N5" s="434" t="s">
        <v>692</v>
      </c>
      <c r="O5" s="434"/>
      <c r="P5" s="434" t="s">
        <v>693</v>
      </c>
      <c r="Q5" s="434"/>
      <c r="R5" s="434" t="s">
        <v>694</v>
      </c>
      <c r="S5" s="434"/>
      <c r="T5" s="435" t="s">
        <v>695</v>
      </c>
      <c r="U5" s="435"/>
      <c r="V5" s="435" t="s">
        <v>696</v>
      </c>
      <c r="W5" s="435"/>
      <c r="X5" s="435" t="s">
        <v>697</v>
      </c>
      <c r="Y5" s="435"/>
      <c r="Z5" s="435" t="s">
        <v>698</v>
      </c>
      <c r="AA5" s="435"/>
      <c r="AB5" s="435" t="s">
        <v>699</v>
      </c>
      <c r="AC5" s="435"/>
      <c r="AD5" s="435" t="s">
        <v>84</v>
      </c>
      <c r="AE5" s="435"/>
      <c r="AF5" s="435" t="s">
        <v>700</v>
      </c>
      <c r="AG5" s="435"/>
      <c r="AH5" s="1060" t="s">
        <v>86</v>
      </c>
      <c r="AI5" s="1064"/>
      <c r="AJ5" s="427"/>
      <c r="AK5" s="1060" t="s">
        <v>87</v>
      </c>
      <c r="AL5" s="1060"/>
      <c r="AM5" s="1060" t="s">
        <v>88</v>
      </c>
      <c r="AN5" s="1060"/>
      <c r="AO5" s="1060" t="s">
        <v>89</v>
      </c>
      <c r="AP5" s="1060"/>
      <c r="AQ5" s="1060" t="s">
        <v>90</v>
      </c>
      <c r="AR5" s="1060"/>
      <c r="AS5" s="1060" t="s">
        <v>91</v>
      </c>
      <c r="AT5" s="1060"/>
      <c r="AU5" s="1060" t="s">
        <v>701</v>
      </c>
      <c r="AV5" s="1060"/>
      <c r="AW5" s="1060" t="s">
        <v>93</v>
      </c>
      <c r="AX5" s="1060"/>
      <c r="AY5" s="1060" t="s">
        <v>94</v>
      </c>
      <c r="AZ5" s="1060"/>
      <c r="BA5" s="1060" t="s">
        <v>95</v>
      </c>
      <c r="BB5" s="1060"/>
      <c r="BC5" s="1060" t="s">
        <v>96</v>
      </c>
      <c r="BD5" s="1060"/>
      <c r="BE5" s="1060" t="s">
        <v>97</v>
      </c>
      <c r="BF5" s="1060"/>
      <c r="BG5" s="1060" t="s">
        <v>98</v>
      </c>
      <c r="BH5" s="1060"/>
      <c r="BI5" s="1060" t="s">
        <v>99</v>
      </c>
      <c r="BJ5" s="1060"/>
      <c r="BK5" s="1060" t="s">
        <v>100</v>
      </c>
      <c r="BL5" s="1060"/>
      <c r="BM5" s="1060" t="s">
        <v>101</v>
      </c>
      <c r="BN5" s="1060"/>
      <c r="BO5" s="1060" t="s">
        <v>102</v>
      </c>
      <c r="BP5" s="1060"/>
      <c r="BQ5" s="1060" t="s">
        <v>103</v>
      </c>
      <c r="BR5" s="1060"/>
      <c r="BS5" s="1060" t="s">
        <v>104</v>
      </c>
      <c r="BT5" s="1060"/>
      <c r="BU5" s="1060" t="s">
        <v>146</v>
      </c>
      <c r="BV5" s="1060"/>
      <c r="BW5" s="1060" t="s">
        <v>154</v>
      </c>
      <c r="BX5" s="1060"/>
      <c r="BY5" s="1060" t="s">
        <v>158</v>
      </c>
      <c r="BZ5" s="1060"/>
      <c r="CA5" s="1060" t="s">
        <v>224</v>
      </c>
      <c r="CB5" s="1060"/>
      <c r="CC5" s="1060" t="s">
        <v>229</v>
      </c>
      <c r="CD5" s="1060"/>
      <c r="CE5" s="1060" t="s">
        <v>236</v>
      </c>
      <c r="CF5" s="1060"/>
      <c r="CG5" s="1060" t="s">
        <v>533</v>
      </c>
      <c r="CH5" s="1060"/>
    </row>
    <row r="6" spans="1:244" ht="25.5" x14ac:dyDescent="0.2">
      <c r="A6" s="436"/>
      <c r="B6" s="437" t="s">
        <v>663</v>
      </c>
      <c r="C6" s="438" t="s">
        <v>702</v>
      </c>
      <c r="D6" s="439" t="s">
        <v>663</v>
      </c>
      <c r="E6" s="438" t="s">
        <v>702</v>
      </c>
      <c r="F6" s="439" t="s">
        <v>663</v>
      </c>
      <c r="G6" s="438" t="s">
        <v>702</v>
      </c>
      <c r="H6" s="439" t="s">
        <v>663</v>
      </c>
      <c r="I6" s="438" t="s">
        <v>702</v>
      </c>
      <c r="J6" s="439" t="s">
        <v>663</v>
      </c>
      <c r="K6" s="438" t="s">
        <v>702</v>
      </c>
      <c r="L6" s="439" t="s">
        <v>663</v>
      </c>
      <c r="M6" s="438" t="s">
        <v>702</v>
      </c>
      <c r="N6" s="439" t="s">
        <v>663</v>
      </c>
      <c r="O6" s="438" t="s">
        <v>702</v>
      </c>
      <c r="P6" s="439" t="s">
        <v>663</v>
      </c>
      <c r="Q6" s="438" t="s">
        <v>702</v>
      </c>
      <c r="R6" s="439" t="s">
        <v>663</v>
      </c>
      <c r="S6" s="438" t="s">
        <v>702</v>
      </c>
      <c r="T6" s="440" t="s">
        <v>663</v>
      </c>
      <c r="U6" s="438" t="s">
        <v>702</v>
      </c>
      <c r="V6" s="440" t="s">
        <v>663</v>
      </c>
      <c r="W6" s="438" t="s">
        <v>702</v>
      </c>
      <c r="X6" s="440" t="s">
        <v>663</v>
      </c>
      <c r="Y6" s="438" t="s">
        <v>702</v>
      </c>
      <c r="Z6" s="440" t="s">
        <v>663</v>
      </c>
      <c r="AA6" s="438" t="s">
        <v>702</v>
      </c>
      <c r="AB6" s="440" t="s">
        <v>663</v>
      </c>
      <c r="AC6" s="438" t="s">
        <v>702</v>
      </c>
      <c r="AD6" s="440" t="s">
        <v>663</v>
      </c>
      <c r="AE6" s="438" t="s">
        <v>702</v>
      </c>
      <c r="AF6" s="440" t="s">
        <v>663</v>
      </c>
      <c r="AG6" s="438" t="s">
        <v>702</v>
      </c>
      <c r="AH6" s="441" t="s">
        <v>663</v>
      </c>
      <c r="AI6" s="442" t="s">
        <v>703</v>
      </c>
      <c r="AJ6" s="443"/>
      <c r="AK6" s="441" t="s">
        <v>663</v>
      </c>
      <c r="AL6" s="438" t="s">
        <v>703</v>
      </c>
      <c r="AM6" s="441" t="s">
        <v>663</v>
      </c>
      <c r="AN6" s="438" t="s">
        <v>703</v>
      </c>
      <c r="AO6" s="441" t="s">
        <v>663</v>
      </c>
      <c r="AP6" s="438" t="s">
        <v>703</v>
      </c>
      <c r="AQ6" s="441" t="s">
        <v>663</v>
      </c>
      <c r="AR6" s="438" t="s">
        <v>703</v>
      </c>
      <c r="AS6" s="441" t="s">
        <v>663</v>
      </c>
      <c r="AT6" s="438" t="s">
        <v>703</v>
      </c>
      <c r="AU6" s="441" t="s">
        <v>663</v>
      </c>
      <c r="AV6" s="438" t="s">
        <v>703</v>
      </c>
      <c r="AW6" s="441" t="s">
        <v>663</v>
      </c>
      <c r="AX6" s="438" t="s">
        <v>703</v>
      </c>
      <c r="AY6" s="441" t="s">
        <v>663</v>
      </c>
      <c r="AZ6" s="438" t="s">
        <v>703</v>
      </c>
      <c r="BA6" s="441" t="s">
        <v>663</v>
      </c>
      <c r="BB6" s="438" t="s">
        <v>702</v>
      </c>
      <c r="BC6" s="441" t="s">
        <v>663</v>
      </c>
      <c r="BD6" s="438" t="s">
        <v>702</v>
      </c>
      <c r="BE6" s="441" t="s">
        <v>663</v>
      </c>
      <c r="BF6" s="438" t="s">
        <v>702</v>
      </c>
      <c r="BG6" s="441" t="s">
        <v>663</v>
      </c>
      <c r="BH6" s="438" t="s">
        <v>702</v>
      </c>
      <c r="BI6" s="441" t="s">
        <v>663</v>
      </c>
      <c r="BJ6" s="438" t="s">
        <v>702</v>
      </c>
      <c r="BK6" s="441" t="s">
        <v>663</v>
      </c>
      <c r="BL6" s="438" t="s">
        <v>702</v>
      </c>
      <c r="BM6" s="441" t="s">
        <v>663</v>
      </c>
      <c r="BN6" s="438" t="s">
        <v>702</v>
      </c>
      <c r="BO6" s="438" t="s">
        <v>663</v>
      </c>
      <c r="BP6" s="438" t="s">
        <v>702</v>
      </c>
      <c r="BQ6" s="441" t="s">
        <v>663</v>
      </c>
      <c r="BR6" s="438" t="s">
        <v>702</v>
      </c>
      <c r="BS6" s="441" t="s">
        <v>663</v>
      </c>
      <c r="BT6" s="438" t="s">
        <v>702</v>
      </c>
      <c r="BU6" s="441" t="s">
        <v>663</v>
      </c>
      <c r="BV6" s="438" t="s">
        <v>702</v>
      </c>
      <c r="BW6" s="441" t="s">
        <v>663</v>
      </c>
      <c r="BX6" s="438" t="s">
        <v>702</v>
      </c>
      <c r="BY6" s="441" t="s">
        <v>663</v>
      </c>
      <c r="BZ6" s="438" t="s">
        <v>702</v>
      </c>
      <c r="CA6" s="441" t="s">
        <v>663</v>
      </c>
      <c r="CB6" s="438" t="s">
        <v>702</v>
      </c>
      <c r="CC6" s="441" t="s">
        <v>663</v>
      </c>
      <c r="CD6" s="438" t="s">
        <v>702</v>
      </c>
      <c r="CE6" s="441" t="s">
        <v>663</v>
      </c>
      <c r="CF6" s="438" t="s">
        <v>702</v>
      </c>
      <c r="CG6" s="441" t="s">
        <v>663</v>
      </c>
      <c r="CH6" s="438" t="s">
        <v>702</v>
      </c>
    </row>
    <row r="7" spans="1:244" ht="8.1" customHeight="1" x14ac:dyDescent="0.2">
      <c r="A7" s="444"/>
      <c r="B7" s="445"/>
      <c r="C7" s="445"/>
      <c r="D7" s="445"/>
      <c r="E7" s="445"/>
      <c r="F7" s="445"/>
      <c r="G7" s="445"/>
      <c r="H7" s="445"/>
      <c r="I7" s="445"/>
      <c r="J7" s="445"/>
      <c r="K7" s="445"/>
      <c r="L7" s="445"/>
      <c r="M7" s="445"/>
      <c r="N7" s="445"/>
      <c r="O7" s="445"/>
      <c r="P7" s="445"/>
      <c r="Q7" s="445"/>
      <c r="R7" s="445"/>
      <c r="S7" s="445"/>
      <c r="T7" s="446"/>
      <c r="U7" s="446"/>
      <c r="V7" s="446"/>
      <c r="W7" s="446"/>
      <c r="X7" s="446"/>
      <c r="Y7" s="446"/>
      <c r="Z7" s="446"/>
      <c r="AA7" s="446"/>
      <c r="AB7" s="446"/>
      <c r="AC7" s="446"/>
      <c r="AD7" s="446"/>
      <c r="AE7" s="446"/>
      <c r="AF7" s="446"/>
      <c r="AG7" s="446"/>
      <c r="AH7" s="447"/>
      <c r="AI7" s="447"/>
      <c r="AJ7" s="447"/>
      <c r="AK7" s="448"/>
      <c r="AL7" s="448"/>
      <c r="AM7" s="447"/>
      <c r="AN7" s="447"/>
      <c r="AO7" s="447"/>
      <c r="AP7" s="447"/>
      <c r="AQ7" s="449"/>
      <c r="AR7" s="449"/>
      <c r="AS7" s="447"/>
      <c r="AT7" s="447"/>
      <c r="AU7" s="447"/>
      <c r="AV7" s="447"/>
      <c r="AW7" s="447"/>
      <c r="AX7" s="447"/>
      <c r="AY7" s="449"/>
      <c r="AZ7" s="449"/>
      <c r="BA7" s="450"/>
      <c r="BB7" s="450"/>
      <c r="BC7" s="450"/>
      <c r="BD7" s="425"/>
      <c r="BE7" s="451"/>
      <c r="BF7" s="452"/>
      <c r="BG7" s="451"/>
      <c r="BH7" s="453"/>
      <c r="BI7" s="451"/>
      <c r="BJ7" s="453"/>
      <c r="BK7" s="451"/>
      <c r="BL7" s="452"/>
      <c r="BM7" s="451"/>
      <c r="BN7" s="453"/>
      <c r="BO7" s="454"/>
      <c r="BP7" s="453"/>
      <c r="BQ7" s="455"/>
      <c r="BR7" s="456"/>
      <c r="BS7" s="451"/>
      <c r="BT7" s="452"/>
      <c r="BU7" s="451"/>
      <c r="BV7" s="453"/>
      <c r="BW7" s="451"/>
      <c r="BX7" s="453"/>
      <c r="BY7" s="451"/>
      <c r="BZ7" s="453"/>
      <c r="CA7" s="451"/>
      <c r="CB7" s="453"/>
      <c r="CC7" s="451"/>
      <c r="CD7" s="453"/>
      <c r="CE7" s="451"/>
      <c r="CF7" s="453"/>
      <c r="CG7" s="451"/>
      <c r="CH7" s="453"/>
    </row>
    <row r="8" spans="1:244" ht="15" x14ac:dyDescent="0.2">
      <c r="A8" s="444" t="s">
        <v>704</v>
      </c>
      <c r="B8" s="457"/>
      <c r="C8" s="457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  <c r="S8" s="457"/>
      <c r="T8" s="457"/>
      <c r="U8" s="457"/>
      <c r="V8" s="458"/>
      <c r="W8" s="458"/>
      <c r="X8" s="458"/>
      <c r="Y8" s="458"/>
      <c r="Z8" s="458"/>
      <c r="AA8" s="458"/>
      <c r="AB8" s="458"/>
      <c r="AC8" s="458"/>
      <c r="AD8" s="458"/>
      <c r="AE8" s="458"/>
      <c r="AF8" s="458"/>
      <c r="AG8" s="458"/>
      <c r="AH8" s="459"/>
      <c r="AI8" s="459"/>
      <c r="AJ8" s="447"/>
      <c r="AK8" s="447"/>
      <c r="AL8" s="447"/>
      <c r="AM8" s="447"/>
      <c r="AN8" s="459"/>
      <c r="AO8" s="459"/>
      <c r="AP8" s="459"/>
      <c r="AQ8" s="460"/>
      <c r="AR8" s="460"/>
      <c r="AS8" s="459"/>
      <c r="AT8" s="459"/>
      <c r="AU8" s="459"/>
      <c r="AV8" s="459"/>
      <c r="AW8" s="459"/>
      <c r="AX8" s="459"/>
      <c r="AY8" s="460"/>
      <c r="AZ8" s="460"/>
      <c r="BA8" s="461"/>
      <c r="BB8" s="461"/>
      <c r="BC8" s="461"/>
      <c r="BD8" s="462"/>
      <c r="BE8" s="463"/>
      <c r="BF8" s="464"/>
      <c r="BG8" s="463"/>
      <c r="BH8" s="465"/>
      <c r="BI8" s="463"/>
      <c r="BJ8" s="465"/>
      <c r="BK8" s="463"/>
      <c r="BL8" s="464"/>
      <c r="BM8" s="463"/>
      <c r="BN8" s="465"/>
      <c r="BO8" s="466"/>
      <c r="BP8" s="465"/>
      <c r="BQ8" s="467"/>
      <c r="BR8" s="468"/>
      <c r="BS8" s="463"/>
      <c r="BT8" s="464"/>
      <c r="BU8" s="463"/>
      <c r="BV8" s="465"/>
      <c r="BW8" s="463"/>
      <c r="BX8" s="465"/>
      <c r="BY8" s="463"/>
      <c r="BZ8" s="465"/>
      <c r="CA8" s="463"/>
      <c r="CB8" s="465"/>
      <c r="CC8" s="463"/>
      <c r="CD8" s="465"/>
      <c r="CE8" s="463"/>
      <c r="CF8" s="465"/>
      <c r="CG8" s="463"/>
      <c r="CH8" s="465"/>
    </row>
    <row r="9" spans="1:244" x14ac:dyDescent="0.2">
      <c r="A9" s="469" t="s">
        <v>705</v>
      </c>
      <c r="B9" s="470">
        <v>480</v>
      </c>
      <c r="C9" s="470">
        <v>589.5</v>
      </c>
      <c r="D9" s="470">
        <v>525</v>
      </c>
      <c r="E9" s="470">
        <v>640.5</v>
      </c>
      <c r="F9" s="470">
        <v>555</v>
      </c>
      <c r="G9" s="470">
        <v>675.5</v>
      </c>
      <c r="H9" s="470">
        <v>642</v>
      </c>
      <c r="I9" s="470">
        <v>786</v>
      </c>
      <c r="J9" s="470">
        <v>726</v>
      </c>
      <c r="K9" s="470">
        <v>876</v>
      </c>
      <c r="L9" s="470">
        <v>802.5</v>
      </c>
      <c r="M9" s="470">
        <v>966</v>
      </c>
      <c r="N9" s="470">
        <v>874.5</v>
      </c>
      <c r="O9" s="470">
        <v>1050</v>
      </c>
      <c r="P9" s="470">
        <v>973.5</v>
      </c>
      <c r="Q9" s="470">
        <v>1167</v>
      </c>
      <c r="R9" s="470">
        <v>1069.5</v>
      </c>
      <c r="S9" s="470">
        <v>1275</v>
      </c>
      <c r="T9" s="470">
        <v>1192</v>
      </c>
      <c r="U9" s="470">
        <v>1490.5</v>
      </c>
      <c r="V9" s="470">
        <v>1228.5</v>
      </c>
      <c r="W9" s="470">
        <v>1542</v>
      </c>
      <c r="X9" s="470">
        <v>1327.5</v>
      </c>
      <c r="Y9" s="470">
        <v>1644</v>
      </c>
      <c r="Z9" s="470">
        <v>1447.5</v>
      </c>
      <c r="AA9" s="470">
        <v>1768.5</v>
      </c>
      <c r="AB9" s="470">
        <v>1551</v>
      </c>
      <c r="AC9" s="470">
        <v>1884</v>
      </c>
      <c r="AD9" s="470">
        <v>1648.5</v>
      </c>
      <c r="AE9" s="470">
        <v>1981.5</v>
      </c>
      <c r="AF9" s="470">
        <v>1751.1</v>
      </c>
      <c r="AG9" s="470">
        <v>2104.5</v>
      </c>
      <c r="AH9" s="471">
        <v>1878.6</v>
      </c>
      <c r="AI9" s="471">
        <v>2298</v>
      </c>
      <c r="AJ9" s="472"/>
      <c r="AK9" s="472">
        <v>1953.6</v>
      </c>
      <c r="AL9" s="472">
        <v>2380.5</v>
      </c>
      <c r="AM9" s="472">
        <v>2073.6</v>
      </c>
      <c r="AN9" s="471">
        <v>2508</v>
      </c>
      <c r="AO9" s="471">
        <v>2073.6</v>
      </c>
      <c r="AP9" s="471">
        <v>2513.6999999999998</v>
      </c>
      <c r="AQ9" s="471">
        <v>2152.5</v>
      </c>
      <c r="AR9" s="471">
        <v>2601.3000000000002</v>
      </c>
      <c r="AS9" s="471">
        <v>2211</v>
      </c>
      <c r="AT9" s="471">
        <v>2711</v>
      </c>
      <c r="AU9" s="471">
        <v>2278.4</v>
      </c>
      <c r="AV9" s="471">
        <v>2790.4</v>
      </c>
      <c r="AW9" s="471">
        <v>2369.54</v>
      </c>
      <c r="AX9" s="471">
        <v>2895.24</v>
      </c>
      <c r="AY9" s="473">
        <v>2502.4</v>
      </c>
      <c r="AZ9" s="473">
        <v>3042.64</v>
      </c>
      <c r="BA9" s="473">
        <v>2742.4</v>
      </c>
      <c r="BB9" s="473">
        <v>3324.6</v>
      </c>
      <c r="BC9" s="474">
        <v>3057.8</v>
      </c>
      <c r="BD9" s="474">
        <v>3646</v>
      </c>
      <c r="BE9" s="475">
        <v>3364</v>
      </c>
      <c r="BF9" s="476">
        <v>4000.28</v>
      </c>
      <c r="BG9" s="475">
        <v>3628.76</v>
      </c>
      <c r="BH9" s="477">
        <v>4298.16</v>
      </c>
      <c r="BI9" s="475">
        <v>3972</v>
      </c>
      <c r="BJ9" s="477">
        <v>4663</v>
      </c>
      <c r="BK9" s="475">
        <v>4269.5200000000004</v>
      </c>
      <c r="BL9" s="476">
        <v>4987</v>
      </c>
      <c r="BM9" s="475">
        <v>4526</v>
      </c>
      <c r="BN9" s="477">
        <v>5285</v>
      </c>
      <c r="BO9" s="475">
        <v>4955.8</v>
      </c>
      <c r="BP9" s="477">
        <v>5746</v>
      </c>
      <c r="BQ9" s="478">
        <v>5426.72</v>
      </c>
      <c r="BR9" s="479">
        <v>6273.64</v>
      </c>
      <c r="BS9" s="475">
        <v>5849.98</v>
      </c>
      <c r="BT9" s="476">
        <v>6762.74</v>
      </c>
      <c r="BU9" s="475">
        <v>6200.96</v>
      </c>
      <c r="BV9" s="477">
        <v>7138.98</v>
      </c>
      <c r="BW9" s="475">
        <v>6511</v>
      </c>
      <c r="BX9" s="477">
        <v>7457.32</v>
      </c>
      <c r="BY9" s="475">
        <v>6888.68</v>
      </c>
      <c r="BZ9" s="477">
        <v>7895</v>
      </c>
      <c r="CA9" s="475">
        <v>7129.68</v>
      </c>
      <c r="CB9" s="477">
        <v>8196.9600000000009</v>
      </c>
      <c r="CC9" s="475">
        <v>7407.7</v>
      </c>
      <c r="CD9" s="477">
        <v>8517.68</v>
      </c>
      <c r="CE9" s="475">
        <v>7696.72</v>
      </c>
      <c r="CF9" s="477">
        <v>8824.2000000000007</v>
      </c>
      <c r="CG9" s="475">
        <v>7996.82</v>
      </c>
      <c r="CH9" s="477">
        <v>9222.2999999999993</v>
      </c>
      <c r="CI9" s="480"/>
      <c r="CJ9" s="480"/>
      <c r="CK9" s="480"/>
      <c r="CL9" s="480"/>
      <c r="CM9" s="480"/>
      <c r="CN9" s="480"/>
      <c r="CO9" s="480"/>
      <c r="CP9" s="480"/>
      <c r="CQ9" s="480"/>
      <c r="CR9" s="480"/>
      <c r="CS9" s="480"/>
      <c r="CT9" s="480"/>
      <c r="CU9" s="480"/>
      <c r="CV9" s="480"/>
      <c r="CW9" s="480"/>
      <c r="CX9" s="480"/>
      <c r="CY9" s="480"/>
      <c r="CZ9" s="480"/>
      <c r="DA9" s="480"/>
      <c r="DB9" s="480"/>
      <c r="DC9" s="480"/>
      <c r="DD9" s="480"/>
      <c r="DE9" s="480"/>
      <c r="DF9" s="480"/>
      <c r="DG9" s="480"/>
      <c r="DH9" s="480"/>
      <c r="DI9" s="480"/>
      <c r="DJ9" s="480"/>
      <c r="DK9" s="480"/>
      <c r="DL9" s="480"/>
      <c r="DM9" s="480"/>
      <c r="DN9" s="480"/>
      <c r="DO9" s="480"/>
      <c r="DP9" s="480"/>
      <c r="DQ9" s="480"/>
      <c r="DR9" s="480"/>
      <c r="DS9" s="480"/>
      <c r="DT9" s="480"/>
      <c r="DU9" s="480"/>
      <c r="DV9" s="480"/>
      <c r="DW9" s="480"/>
      <c r="DX9" s="480"/>
      <c r="DY9" s="480"/>
      <c r="DZ9" s="480"/>
      <c r="EA9" s="480"/>
      <c r="EB9" s="480"/>
      <c r="EC9" s="480"/>
      <c r="ED9" s="480"/>
      <c r="EE9" s="480"/>
      <c r="EF9" s="480"/>
      <c r="EG9" s="480"/>
      <c r="EH9" s="480"/>
      <c r="EI9" s="480"/>
      <c r="EJ9" s="480"/>
      <c r="EK9" s="480"/>
      <c r="EL9" s="480"/>
      <c r="EM9" s="480"/>
      <c r="EN9" s="480"/>
      <c r="EO9" s="480"/>
      <c r="EP9" s="480"/>
      <c r="EQ9" s="480"/>
      <c r="ER9" s="480"/>
      <c r="ES9" s="480"/>
      <c r="ET9" s="480"/>
      <c r="EU9" s="480"/>
      <c r="EV9" s="480"/>
      <c r="EW9" s="480"/>
      <c r="EX9" s="480"/>
      <c r="EY9" s="480"/>
      <c r="EZ9" s="480"/>
      <c r="FA9" s="480"/>
      <c r="FB9" s="480"/>
      <c r="FC9" s="480"/>
      <c r="FD9" s="480"/>
      <c r="FE9" s="480"/>
      <c r="FF9" s="480"/>
      <c r="FG9" s="480"/>
      <c r="FH9" s="480"/>
      <c r="FI9" s="480"/>
      <c r="FJ9" s="480"/>
      <c r="FK9" s="480"/>
      <c r="FL9" s="480"/>
      <c r="FM9" s="480"/>
      <c r="FN9" s="480"/>
      <c r="FO9" s="480"/>
      <c r="FP9" s="480"/>
      <c r="FQ9" s="480"/>
      <c r="FR9" s="480"/>
      <c r="FS9" s="480"/>
      <c r="FT9" s="480"/>
      <c r="FU9" s="480"/>
      <c r="FV9" s="480"/>
      <c r="FW9" s="480"/>
      <c r="FX9" s="480"/>
      <c r="FY9" s="480"/>
      <c r="FZ9" s="480"/>
      <c r="GA9" s="480"/>
      <c r="GB9" s="480"/>
      <c r="GC9" s="480"/>
      <c r="GD9" s="480"/>
      <c r="GE9" s="480"/>
      <c r="GF9" s="480"/>
      <c r="GG9" s="480"/>
      <c r="GH9" s="480"/>
      <c r="GI9" s="480"/>
      <c r="GJ9" s="480"/>
      <c r="GK9" s="480"/>
      <c r="GL9" s="480"/>
      <c r="GM9" s="480"/>
      <c r="GN9" s="480"/>
      <c r="GO9" s="480"/>
      <c r="GP9" s="480"/>
      <c r="GQ9" s="480"/>
      <c r="GR9" s="480"/>
      <c r="GS9" s="480"/>
      <c r="GT9" s="480"/>
      <c r="GU9" s="480"/>
      <c r="GV9" s="480"/>
      <c r="GW9" s="480"/>
      <c r="GX9" s="480"/>
      <c r="GY9" s="480"/>
      <c r="GZ9" s="480"/>
      <c r="HA9" s="480"/>
      <c r="HB9" s="480"/>
      <c r="HC9" s="480"/>
      <c r="HD9" s="480"/>
      <c r="HE9" s="480"/>
      <c r="HF9" s="480"/>
      <c r="HG9" s="480"/>
      <c r="HH9" s="480"/>
      <c r="HI9" s="480"/>
      <c r="HJ9" s="480"/>
      <c r="HK9" s="480"/>
      <c r="HL9" s="480"/>
      <c r="HM9" s="480"/>
      <c r="HN9" s="480"/>
      <c r="HO9" s="480"/>
      <c r="HP9" s="480"/>
      <c r="HQ9" s="480"/>
      <c r="HR9" s="480"/>
      <c r="HS9" s="480"/>
      <c r="HT9" s="480"/>
      <c r="HU9" s="480"/>
      <c r="HV9" s="480"/>
      <c r="HW9" s="480"/>
      <c r="HX9" s="480"/>
      <c r="HY9" s="480"/>
      <c r="HZ9" s="480"/>
      <c r="IA9" s="480"/>
      <c r="IB9" s="480"/>
      <c r="IC9" s="480"/>
      <c r="ID9" s="480"/>
      <c r="IE9" s="480"/>
      <c r="IF9" s="480"/>
      <c r="IG9" s="480"/>
      <c r="IH9" s="480"/>
      <c r="II9" s="480"/>
      <c r="IJ9" s="480"/>
    </row>
    <row r="10" spans="1:244" x14ac:dyDescent="0.2">
      <c r="A10" s="444" t="s">
        <v>706</v>
      </c>
      <c r="B10" s="457">
        <v>1365</v>
      </c>
      <c r="C10" s="457">
        <v>1474</v>
      </c>
      <c r="D10" s="457">
        <v>1546.5</v>
      </c>
      <c r="E10" s="457">
        <v>1662</v>
      </c>
      <c r="F10" s="457">
        <v>1665</v>
      </c>
      <c r="G10" s="457">
        <v>1786.5</v>
      </c>
      <c r="H10" s="457">
        <v>1890</v>
      </c>
      <c r="I10" s="457">
        <v>2034</v>
      </c>
      <c r="J10" s="457">
        <v>2178</v>
      </c>
      <c r="K10" s="457">
        <v>2328</v>
      </c>
      <c r="L10" s="457">
        <v>2569.5</v>
      </c>
      <c r="M10" s="457">
        <v>2733</v>
      </c>
      <c r="N10" s="457">
        <v>2797.5</v>
      </c>
      <c r="O10" s="457">
        <v>2973</v>
      </c>
      <c r="P10" s="457">
        <v>3136.5</v>
      </c>
      <c r="Q10" s="457">
        <v>3330</v>
      </c>
      <c r="R10" s="457">
        <v>3427.5</v>
      </c>
      <c r="S10" s="457">
        <v>3633</v>
      </c>
      <c r="T10" s="457">
        <v>3819.2</v>
      </c>
      <c r="U10" s="457">
        <v>4117.7</v>
      </c>
      <c r="V10" s="457">
        <v>3937.5</v>
      </c>
      <c r="W10" s="457">
        <v>4251</v>
      </c>
      <c r="X10" s="457">
        <v>4258.5</v>
      </c>
      <c r="Y10" s="457">
        <v>4575</v>
      </c>
      <c r="Z10" s="457">
        <v>4650</v>
      </c>
      <c r="AA10" s="457">
        <v>4971</v>
      </c>
      <c r="AB10" s="481">
        <v>4977</v>
      </c>
      <c r="AC10" s="481">
        <v>5310</v>
      </c>
      <c r="AD10" s="481">
        <v>5286</v>
      </c>
      <c r="AE10" s="481">
        <v>5619</v>
      </c>
      <c r="AF10" s="481">
        <v>5721.6</v>
      </c>
      <c r="AG10" s="481">
        <v>6075</v>
      </c>
      <c r="AH10" s="482">
        <v>6375.6</v>
      </c>
      <c r="AI10" s="482">
        <v>6795</v>
      </c>
      <c r="AJ10" s="483"/>
      <c r="AK10" s="484">
        <v>6857.1</v>
      </c>
      <c r="AL10" s="484">
        <v>7284</v>
      </c>
      <c r="AM10" s="484">
        <v>7272.6</v>
      </c>
      <c r="AN10" s="485">
        <v>7707</v>
      </c>
      <c r="AO10" s="485">
        <v>7272.6</v>
      </c>
      <c r="AP10" s="485">
        <v>7712.7</v>
      </c>
      <c r="AQ10" s="486">
        <v>7549.5</v>
      </c>
      <c r="AR10" s="486">
        <v>7998.3</v>
      </c>
      <c r="AS10" s="486">
        <v>7751.4</v>
      </c>
      <c r="AT10" s="486">
        <v>8251.4</v>
      </c>
      <c r="AU10" s="486">
        <v>7983.4</v>
      </c>
      <c r="AV10" s="486">
        <v>8495.4</v>
      </c>
      <c r="AW10" s="486">
        <v>8302.74</v>
      </c>
      <c r="AX10" s="486">
        <v>8828.44</v>
      </c>
      <c r="AY10" s="487">
        <v>8759</v>
      </c>
      <c r="AZ10" s="487">
        <v>9299.24</v>
      </c>
      <c r="BA10" s="486">
        <v>9599.7999999999993</v>
      </c>
      <c r="BB10" s="487">
        <v>10182</v>
      </c>
      <c r="BC10" s="488">
        <v>10703.68</v>
      </c>
      <c r="BD10" s="488">
        <v>11291.88</v>
      </c>
      <c r="BE10" s="489">
        <v>11774</v>
      </c>
      <c r="BF10" s="490">
        <v>12410.4</v>
      </c>
      <c r="BG10" s="489">
        <v>12701</v>
      </c>
      <c r="BH10" s="491">
        <v>13370</v>
      </c>
      <c r="BI10" s="489">
        <v>13902</v>
      </c>
      <c r="BJ10" s="491">
        <v>14593</v>
      </c>
      <c r="BK10" s="489">
        <v>14945</v>
      </c>
      <c r="BL10" s="490">
        <v>15662</v>
      </c>
      <c r="BM10" s="489">
        <v>15842</v>
      </c>
      <c r="BN10" s="491">
        <v>16601</v>
      </c>
      <c r="BO10" s="489">
        <v>17346.400000000001</v>
      </c>
      <c r="BP10" s="491">
        <v>18136</v>
      </c>
      <c r="BQ10" s="492">
        <v>18994.22</v>
      </c>
      <c r="BR10" s="493">
        <v>19841.14</v>
      </c>
      <c r="BS10" s="489">
        <v>20475.7</v>
      </c>
      <c r="BT10" s="490">
        <v>21388.46</v>
      </c>
      <c r="BU10" s="489">
        <v>21704.22</v>
      </c>
      <c r="BV10" s="491">
        <v>22642.240000000002</v>
      </c>
      <c r="BW10" s="489">
        <f>11536.3*2</f>
        <v>23072.6</v>
      </c>
      <c r="BX10" s="491">
        <f>12009.46*2</f>
        <v>24018.92</v>
      </c>
      <c r="BY10" s="489">
        <v>24111.24</v>
      </c>
      <c r="BZ10" s="491">
        <f>BY10+1066.32</f>
        <v>25177.56</v>
      </c>
      <c r="CA10" s="489">
        <v>24955</v>
      </c>
      <c r="CB10" s="491">
        <v>26022.28</v>
      </c>
      <c r="CC10" s="489">
        <v>25929</v>
      </c>
      <c r="CD10" s="491">
        <v>27039</v>
      </c>
      <c r="CE10" s="489">
        <v>26939.7</v>
      </c>
      <c r="CF10" s="491">
        <v>28067.18</v>
      </c>
      <c r="CG10" s="475">
        <v>27990</v>
      </c>
      <c r="CH10" s="491">
        <v>29215.48</v>
      </c>
      <c r="CJ10" s="494"/>
    </row>
    <row r="11" spans="1:244" ht="8.1" customHeight="1" x14ac:dyDescent="0.2">
      <c r="A11" s="444"/>
      <c r="B11" s="457"/>
      <c r="C11" s="457"/>
      <c r="D11" s="457"/>
      <c r="E11" s="457"/>
      <c r="F11" s="457"/>
      <c r="G11" s="457"/>
      <c r="H11" s="457"/>
      <c r="I11" s="457"/>
      <c r="J11" s="457"/>
      <c r="K11" s="457"/>
      <c r="L11" s="457"/>
      <c r="M11" s="457"/>
      <c r="N11" s="457"/>
      <c r="O11" s="457"/>
      <c r="P11" s="457"/>
      <c r="Q11" s="457"/>
      <c r="R11" s="457"/>
      <c r="S11" s="457"/>
      <c r="T11" s="457"/>
      <c r="U11" s="457"/>
      <c r="V11" s="457"/>
      <c r="W11" s="457"/>
      <c r="X11" s="457"/>
      <c r="Y11" s="457"/>
      <c r="Z11" s="457"/>
      <c r="AA11" s="457"/>
      <c r="AB11" s="481"/>
      <c r="AC11" s="481"/>
      <c r="AD11" s="481"/>
      <c r="AE11" s="481"/>
      <c r="AF11" s="481"/>
      <c r="AG11" s="481"/>
      <c r="AH11" s="495"/>
      <c r="AI11" s="495"/>
      <c r="AJ11" s="496"/>
      <c r="AK11" s="484"/>
      <c r="AL11" s="484"/>
      <c r="AM11" s="484"/>
      <c r="AN11" s="485"/>
      <c r="AO11" s="485"/>
      <c r="AP11" s="485"/>
      <c r="AQ11" s="486"/>
      <c r="AR11" s="486"/>
      <c r="AS11" s="486"/>
      <c r="AT11" s="486"/>
      <c r="AU11" s="486"/>
      <c r="AV11" s="486"/>
      <c r="AW11" s="486"/>
      <c r="AX11" s="486"/>
      <c r="AY11" s="487"/>
      <c r="AZ11" s="487"/>
      <c r="BA11" s="487"/>
      <c r="BB11" s="487"/>
      <c r="BC11" s="488"/>
      <c r="BD11" s="488"/>
      <c r="BE11" s="489"/>
      <c r="BF11" s="490"/>
      <c r="BG11" s="489"/>
      <c r="BH11" s="491"/>
      <c r="BI11" s="489"/>
      <c r="BJ11" s="491"/>
      <c r="BK11" s="489"/>
      <c r="BL11" s="490"/>
      <c r="BM11" s="489"/>
      <c r="BN11" s="491"/>
      <c r="BO11" s="489"/>
      <c r="BP11" s="491"/>
      <c r="BQ11" s="492"/>
      <c r="BR11" s="493"/>
      <c r="BS11" s="489"/>
      <c r="BT11" s="490"/>
      <c r="BU11" s="489"/>
      <c r="BV11" s="491"/>
      <c r="BW11" s="489"/>
      <c r="BX11" s="491"/>
      <c r="BY11" s="489"/>
      <c r="BZ11" s="491"/>
      <c r="CA11" s="489"/>
      <c r="CB11" s="491"/>
      <c r="CC11" s="489"/>
      <c r="CD11" s="491"/>
      <c r="CE11" s="497"/>
      <c r="CF11" s="498"/>
      <c r="CG11" s="497"/>
      <c r="CH11" s="498"/>
    </row>
    <row r="12" spans="1:244" ht="15" x14ac:dyDescent="0.2">
      <c r="A12" s="444" t="s">
        <v>707</v>
      </c>
      <c r="B12" s="457"/>
      <c r="C12" s="457"/>
      <c r="D12" s="457"/>
      <c r="E12" s="457"/>
      <c r="F12" s="457"/>
      <c r="G12" s="457"/>
      <c r="H12" s="457"/>
      <c r="I12" s="457"/>
      <c r="J12" s="457"/>
      <c r="K12" s="457"/>
      <c r="L12" s="457"/>
      <c r="M12" s="457"/>
      <c r="N12" s="457"/>
      <c r="O12" s="457"/>
      <c r="P12" s="457"/>
      <c r="Q12" s="457"/>
      <c r="R12" s="457"/>
      <c r="S12" s="457"/>
      <c r="T12" s="457"/>
      <c r="U12" s="457"/>
      <c r="V12" s="457"/>
      <c r="W12" s="457"/>
      <c r="X12" s="457"/>
      <c r="Y12" s="457"/>
      <c r="Z12" s="457"/>
      <c r="AA12" s="457"/>
      <c r="AB12" s="481"/>
      <c r="AC12" s="481"/>
      <c r="AD12" s="481"/>
      <c r="AE12" s="481"/>
      <c r="AF12" s="481"/>
      <c r="AG12" s="481"/>
      <c r="AH12" s="495"/>
      <c r="AI12" s="495"/>
      <c r="AJ12" s="496"/>
      <c r="AK12" s="484"/>
      <c r="AL12" s="484"/>
      <c r="AM12" s="484"/>
      <c r="AN12" s="485"/>
      <c r="AO12" s="485"/>
      <c r="AP12" s="485"/>
      <c r="AQ12" s="486"/>
      <c r="AR12" s="486"/>
      <c r="AS12" s="486"/>
      <c r="AT12" s="486"/>
      <c r="AU12" s="486"/>
      <c r="AV12" s="486"/>
      <c r="AW12" s="486"/>
      <c r="AX12" s="486"/>
      <c r="AY12" s="487"/>
      <c r="AZ12" s="487"/>
      <c r="BA12" s="487"/>
      <c r="BB12" s="487"/>
      <c r="BC12" s="488"/>
      <c r="BD12" s="488"/>
      <c r="BE12" s="489"/>
      <c r="BF12" s="490"/>
      <c r="BG12" s="489"/>
      <c r="BH12" s="491"/>
      <c r="BI12" s="489"/>
      <c r="BJ12" s="491"/>
      <c r="BK12" s="489"/>
      <c r="BL12" s="490"/>
      <c r="BM12" s="489"/>
      <c r="BN12" s="491"/>
      <c r="BO12" s="489"/>
      <c r="BP12" s="491"/>
      <c r="BQ12" s="492"/>
      <c r="BR12" s="493"/>
      <c r="BS12" s="489"/>
      <c r="BT12" s="490"/>
      <c r="BU12" s="489"/>
      <c r="BV12" s="491"/>
      <c r="BW12" s="489"/>
      <c r="BX12" s="491"/>
      <c r="BY12" s="489"/>
      <c r="BZ12" s="491"/>
      <c r="CA12" s="489"/>
      <c r="CB12" s="491"/>
      <c r="CC12" s="489"/>
      <c r="CD12" s="491"/>
      <c r="CE12" s="497"/>
      <c r="CF12" s="498"/>
      <c r="CG12" s="497"/>
      <c r="CH12" s="498"/>
    </row>
    <row r="13" spans="1:244" x14ac:dyDescent="0.2">
      <c r="A13" s="444" t="s">
        <v>705</v>
      </c>
      <c r="B13" s="457">
        <v>421.5</v>
      </c>
      <c r="C13" s="457">
        <v>555</v>
      </c>
      <c r="D13" s="457">
        <v>462</v>
      </c>
      <c r="E13" s="457">
        <v>601</v>
      </c>
      <c r="F13" s="457">
        <v>501</v>
      </c>
      <c r="G13" s="457">
        <v>651</v>
      </c>
      <c r="H13" s="457">
        <v>552</v>
      </c>
      <c r="I13" s="457">
        <v>702</v>
      </c>
      <c r="J13" s="457">
        <v>630</v>
      </c>
      <c r="K13" s="457">
        <v>786</v>
      </c>
      <c r="L13" s="457">
        <v>684</v>
      </c>
      <c r="M13" s="457">
        <v>825</v>
      </c>
      <c r="N13" s="457">
        <v>732</v>
      </c>
      <c r="O13" s="457">
        <v>918</v>
      </c>
      <c r="P13" s="457">
        <v>810</v>
      </c>
      <c r="Q13" s="457">
        <v>1002</v>
      </c>
      <c r="R13" s="457">
        <v>879</v>
      </c>
      <c r="S13" s="457">
        <v>1071</v>
      </c>
      <c r="T13" s="457">
        <v>976</v>
      </c>
      <c r="U13" s="457">
        <v>1246</v>
      </c>
      <c r="V13" s="457">
        <v>1014</v>
      </c>
      <c r="W13" s="457">
        <v>1293</v>
      </c>
      <c r="X13" s="457">
        <v>1095</v>
      </c>
      <c r="Y13" s="457">
        <v>1380</v>
      </c>
      <c r="Z13" s="457">
        <v>1197</v>
      </c>
      <c r="AA13" s="457">
        <v>1500</v>
      </c>
      <c r="AB13" s="481">
        <v>1281</v>
      </c>
      <c r="AC13" s="481">
        <v>1599</v>
      </c>
      <c r="AD13" s="481">
        <v>1359</v>
      </c>
      <c r="AE13" s="481">
        <v>1680</v>
      </c>
      <c r="AF13" s="481">
        <v>1440</v>
      </c>
      <c r="AG13" s="481">
        <v>1776</v>
      </c>
      <c r="AH13" s="482">
        <v>1542</v>
      </c>
      <c r="AI13" s="482">
        <v>1896</v>
      </c>
      <c r="AJ13" s="483"/>
      <c r="AK13" s="484">
        <v>1650</v>
      </c>
      <c r="AL13" s="484">
        <v>2022</v>
      </c>
      <c r="AM13" s="484">
        <v>1611</v>
      </c>
      <c r="AN13" s="485">
        <v>1992</v>
      </c>
      <c r="AO13" s="485">
        <v>1701</v>
      </c>
      <c r="AP13" s="485">
        <v>2088</v>
      </c>
      <c r="AQ13" s="486">
        <v>1767</v>
      </c>
      <c r="AR13" s="486">
        <v>2175</v>
      </c>
      <c r="AS13" s="486">
        <v>1815.24</v>
      </c>
      <c r="AT13" s="486">
        <v>2245.2399999999998</v>
      </c>
      <c r="AU13" s="486">
        <v>1870.5</v>
      </c>
      <c r="AV13" s="486">
        <v>2313.5</v>
      </c>
      <c r="AW13" s="486">
        <v>1945.32</v>
      </c>
      <c r="AX13" s="486">
        <v>2401.3200000000002</v>
      </c>
      <c r="AY13" s="487">
        <v>2122.5</v>
      </c>
      <c r="AZ13" s="487">
        <v>2590</v>
      </c>
      <c r="BA13" s="487">
        <v>2324.3000000000002</v>
      </c>
      <c r="BB13" s="487">
        <v>2834.3</v>
      </c>
      <c r="BC13" s="488">
        <v>2545.12</v>
      </c>
      <c r="BD13" s="488">
        <v>3071.12</v>
      </c>
      <c r="BE13" s="489">
        <v>2850</v>
      </c>
      <c r="BF13" s="490">
        <v>3394</v>
      </c>
      <c r="BG13" s="489">
        <v>3128</v>
      </c>
      <c r="BH13" s="491">
        <v>3672</v>
      </c>
      <c r="BI13" s="489">
        <v>3378</v>
      </c>
      <c r="BJ13" s="491">
        <v>3949</v>
      </c>
      <c r="BK13" s="489">
        <v>3614.8</v>
      </c>
      <c r="BL13" s="490">
        <v>4199</v>
      </c>
      <c r="BM13" s="489">
        <v>3832</v>
      </c>
      <c r="BN13" s="491">
        <v>4445</v>
      </c>
      <c r="BO13" s="489">
        <v>4042.72</v>
      </c>
      <c r="BP13" s="491">
        <v>4828</v>
      </c>
      <c r="BQ13" s="492">
        <v>4345.8999999999996</v>
      </c>
      <c r="BR13" s="493">
        <v>5150.2599999999993</v>
      </c>
      <c r="BS13" s="489">
        <v>4737.2</v>
      </c>
      <c r="BT13" s="490">
        <v>5563.08</v>
      </c>
      <c r="BU13" s="489">
        <v>5021.46</v>
      </c>
      <c r="BV13" s="491">
        <v>5931.16</v>
      </c>
      <c r="BW13" s="489">
        <v>5272.54</v>
      </c>
      <c r="BX13" s="491">
        <v>6184.64</v>
      </c>
      <c r="BY13" s="489">
        <v>5453.66</v>
      </c>
      <c r="BZ13" s="491">
        <v>6383.34</v>
      </c>
      <c r="CA13" s="489">
        <v>5617.28</v>
      </c>
      <c r="CB13" s="491">
        <v>6663.54</v>
      </c>
      <c r="CC13" s="489">
        <v>5813.88</v>
      </c>
      <c r="CD13" s="491">
        <v>6865.58</v>
      </c>
      <c r="CE13" s="475">
        <v>6104.5</v>
      </c>
      <c r="CF13" s="477">
        <v>7174.64</v>
      </c>
      <c r="CG13" s="475">
        <v>6342.44</v>
      </c>
      <c r="CH13" s="477">
        <v>7424.44</v>
      </c>
    </row>
    <row r="14" spans="1:244" x14ac:dyDescent="0.2">
      <c r="A14" s="444" t="s">
        <v>708</v>
      </c>
      <c r="B14" s="457">
        <v>1282.5</v>
      </c>
      <c r="C14" s="457">
        <v>1416</v>
      </c>
      <c r="D14" s="457">
        <v>1431</v>
      </c>
      <c r="E14" s="457">
        <v>1570</v>
      </c>
      <c r="F14" s="457">
        <v>1551</v>
      </c>
      <c r="G14" s="457">
        <v>1701</v>
      </c>
      <c r="H14" s="457">
        <v>1710</v>
      </c>
      <c r="I14" s="457">
        <v>1860</v>
      </c>
      <c r="J14" s="457">
        <v>1947</v>
      </c>
      <c r="K14" s="457">
        <v>2103</v>
      </c>
      <c r="L14" s="457">
        <v>2199</v>
      </c>
      <c r="M14" s="457">
        <v>2370</v>
      </c>
      <c r="N14" s="457">
        <v>2382</v>
      </c>
      <c r="O14" s="457">
        <v>2568</v>
      </c>
      <c r="P14" s="457">
        <v>2628</v>
      </c>
      <c r="Q14" s="457">
        <v>2820</v>
      </c>
      <c r="R14" s="457">
        <v>2859</v>
      </c>
      <c r="S14" s="457">
        <v>3051</v>
      </c>
      <c r="T14" s="457">
        <v>3174.4</v>
      </c>
      <c r="U14" s="457">
        <v>3444.4</v>
      </c>
      <c r="V14" s="457">
        <v>3270</v>
      </c>
      <c r="W14" s="457">
        <v>3549</v>
      </c>
      <c r="X14" s="457">
        <v>3531</v>
      </c>
      <c r="Y14" s="457">
        <v>3816</v>
      </c>
      <c r="Z14" s="457">
        <v>3828</v>
      </c>
      <c r="AA14" s="457">
        <v>4131</v>
      </c>
      <c r="AB14" s="481">
        <v>4095</v>
      </c>
      <c r="AC14" s="481">
        <v>4413</v>
      </c>
      <c r="AD14" s="481">
        <v>4341</v>
      </c>
      <c r="AE14" s="481">
        <v>4662</v>
      </c>
      <c r="AF14" s="481">
        <v>4602</v>
      </c>
      <c r="AG14" s="481">
        <v>4938</v>
      </c>
      <c r="AH14" s="482">
        <v>5187</v>
      </c>
      <c r="AI14" s="482">
        <v>5541</v>
      </c>
      <c r="AJ14" s="483"/>
      <c r="AK14" s="484">
        <v>5775</v>
      </c>
      <c r="AL14" s="484">
        <v>6147</v>
      </c>
      <c r="AM14" s="484">
        <v>5661</v>
      </c>
      <c r="AN14" s="485">
        <v>6042</v>
      </c>
      <c r="AO14" s="485">
        <v>5979</v>
      </c>
      <c r="AP14" s="485">
        <v>6366</v>
      </c>
      <c r="AQ14" s="486">
        <v>6207</v>
      </c>
      <c r="AR14" s="486">
        <v>6615</v>
      </c>
      <c r="AS14" s="486">
        <v>6371.76</v>
      </c>
      <c r="AT14" s="486">
        <v>6801.76</v>
      </c>
      <c r="AU14" s="486">
        <v>6560.38</v>
      </c>
      <c r="AV14" s="486">
        <v>7003.38</v>
      </c>
      <c r="AW14" s="486">
        <v>6822.8</v>
      </c>
      <c r="AX14" s="486">
        <v>7278.8</v>
      </c>
      <c r="AY14" s="487">
        <v>7429.24</v>
      </c>
      <c r="AZ14" s="487">
        <v>7896.74</v>
      </c>
      <c r="BA14" s="487">
        <v>7689.26</v>
      </c>
      <c r="BB14" s="487">
        <v>8199.26</v>
      </c>
      <c r="BC14" s="488">
        <v>8419.74</v>
      </c>
      <c r="BD14" s="488">
        <v>8945.74</v>
      </c>
      <c r="BE14" s="489">
        <v>9178</v>
      </c>
      <c r="BF14" s="490">
        <v>9722</v>
      </c>
      <c r="BG14" s="489">
        <v>10072</v>
      </c>
      <c r="BH14" s="491">
        <v>10616</v>
      </c>
      <c r="BI14" s="489">
        <v>10878</v>
      </c>
      <c r="BJ14" s="491">
        <v>11449</v>
      </c>
      <c r="BK14" s="489">
        <v>11639</v>
      </c>
      <c r="BL14" s="490">
        <v>12224</v>
      </c>
      <c r="BM14" s="489">
        <v>12338</v>
      </c>
      <c r="BN14" s="491">
        <v>12951</v>
      </c>
      <c r="BO14" s="489">
        <v>13016.72</v>
      </c>
      <c r="BP14" s="491">
        <v>13802</v>
      </c>
      <c r="BQ14" s="492">
        <v>13993.06</v>
      </c>
      <c r="BR14" s="493">
        <v>14797.42</v>
      </c>
      <c r="BS14" s="489">
        <v>15252.54</v>
      </c>
      <c r="BT14" s="490">
        <v>16078.42</v>
      </c>
      <c r="BU14" s="489">
        <v>16167.76</v>
      </c>
      <c r="BV14" s="491">
        <v>17077.46</v>
      </c>
      <c r="BW14" s="489">
        <f>8488.09*2</f>
        <v>16976.18</v>
      </c>
      <c r="BX14" s="491">
        <f>8944.14*2</f>
        <v>17888.28</v>
      </c>
      <c r="BY14" s="489">
        <v>17560.5</v>
      </c>
      <c r="BZ14" s="491">
        <v>18490.18</v>
      </c>
      <c r="CA14" s="489">
        <v>18087</v>
      </c>
      <c r="CB14" s="491">
        <v>19133.259999999998</v>
      </c>
      <c r="CC14" s="489">
        <v>18720</v>
      </c>
      <c r="CD14" s="491">
        <v>19772</v>
      </c>
      <c r="CE14" s="489">
        <v>19656.560000000001</v>
      </c>
      <c r="CF14" s="491">
        <v>20726.7</v>
      </c>
      <c r="CG14" s="489">
        <v>20423</v>
      </c>
      <c r="CH14" s="491">
        <v>21505</v>
      </c>
      <c r="CJ14" s="494"/>
    </row>
    <row r="15" spans="1:244" ht="8.1" customHeight="1" x14ac:dyDescent="0.2">
      <c r="A15" s="444"/>
      <c r="B15" s="457"/>
      <c r="C15" s="457"/>
      <c r="D15" s="457"/>
      <c r="E15" s="457"/>
      <c r="F15" s="457"/>
      <c r="G15" s="457"/>
      <c r="H15" s="457"/>
      <c r="I15" s="457"/>
      <c r="J15" s="457"/>
      <c r="K15" s="457"/>
      <c r="L15" s="457"/>
      <c r="M15" s="457"/>
      <c r="N15" s="457"/>
      <c r="O15" s="457"/>
      <c r="P15" s="457"/>
      <c r="Q15" s="457"/>
      <c r="R15" s="457"/>
      <c r="S15" s="457"/>
      <c r="T15" s="457"/>
      <c r="U15" s="457"/>
      <c r="V15" s="457"/>
      <c r="W15" s="457"/>
      <c r="X15" s="457"/>
      <c r="Y15" s="457"/>
      <c r="Z15" s="457"/>
      <c r="AA15" s="457"/>
      <c r="AB15" s="481"/>
      <c r="AC15" s="481"/>
      <c r="AD15" s="481"/>
      <c r="AE15" s="481"/>
      <c r="AF15" s="481"/>
      <c r="AG15" s="481"/>
      <c r="AH15" s="495"/>
      <c r="AI15" s="495"/>
      <c r="AJ15" s="496"/>
      <c r="AK15" s="484"/>
      <c r="AL15" s="484"/>
      <c r="AM15" s="484"/>
      <c r="AN15" s="485"/>
      <c r="AO15" s="485"/>
      <c r="AP15" s="485"/>
      <c r="AQ15" s="486"/>
      <c r="AR15" s="486"/>
      <c r="AS15" s="486"/>
      <c r="AT15" s="486"/>
      <c r="AU15" s="486"/>
      <c r="AV15" s="486"/>
      <c r="AW15" s="486"/>
      <c r="AX15" s="486"/>
      <c r="AY15" s="487"/>
      <c r="AZ15" s="487"/>
      <c r="BA15" s="487"/>
      <c r="BB15" s="487"/>
      <c r="BC15" s="488"/>
      <c r="BD15" s="488"/>
      <c r="BE15" s="489"/>
      <c r="BF15" s="490"/>
      <c r="BG15" s="489"/>
      <c r="BH15" s="491"/>
      <c r="BI15" s="489"/>
      <c r="BJ15" s="491"/>
      <c r="BK15" s="489"/>
      <c r="BL15" s="490"/>
      <c r="BM15" s="489"/>
      <c r="BN15" s="491"/>
      <c r="BO15" s="489"/>
      <c r="BP15" s="491"/>
      <c r="BQ15" s="492"/>
      <c r="BR15" s="493"/>
      <c r="BS15" s="489"/>
      <c r="BT15" s="490"/>
      <c r="BU15" s="489"/>
      <c r="BV15" s="491"/>
      <c r="BW15" s="489"/>
      <c r="BX15" s="491"/>
      <c r="BY15" s="489"/>
      <c r="BZ15" s="491"/>
      <c r="CA15" s="489"/>
      <c r="CB15" s="491"/>
      <c r="CC15" s="489"/>
      <c r="CD15" s="491"/>
      <c r="CE15" s="497"/>
      <c r="CF15" s="498"/>
      <c r="CG15" s="489"/>
      <c r="CH15" s="498"/>
    </row>
    <row r="16" spans="1:244" ht="15" x14ac:dyDescent="0.2">
      <c r="A16" s="444" t="s">
        <v>709</v>
      </c>
      <c r="B16" s="457"/>
      <c r="C16" s="457"/>
      <c r="D16" s="457"/>
      <c r="E16" s="457"/>
      <c r="F16" s="457"/>
      <c r="G16" s="457"/>
      <c r="H16" s="457"/>
      <c r="I16" s="457"/>
      <c r="J16" s="457"/>
      <c r="K16" s="457"/>
      <c r="L16" s="457"/>
      <c r="M16" s="457"/>
      <c r="N16" s="457"/>
      <c r="O16" s="457"/>
      <c r="P16" s="457"/>
      <c r="Q16" s="457"/>
      <c r="R16" s="457"/>
      <c r="S16" s="457"/>
      <c r="T16" s="457"/>
      <c r="U16" s="457"/>
      <c r="V16" s="457"/>
      <c r="W16" s="457"/>
      <c r="X16" s="457"/>
      <c r="Y16" s="457"/>
      <c r="Z16" s="457"/>
      <c r="AA16" s="457"/>
      <c r="AB16" s="481"/>
      <c r="AC16" s="481"/>
      <c r="AD16" s="481"/>
      <c r="AE16" s="481"/>
      <c r="AF16" s="481"/>
      <c r="AG16" s="481"/>
      <c r="AH16" s="495"/>
      <c r="AI16" s="495"/>
      <c r="AJ16" s="496"/>
      <c r="AK16" s="484"/>
      <c r="AL16" s="484"/>
      <c r="AM16" s="484"/>
      <c r="AN16" s="485"/>
      <c r="AO16" s="485"/>
      <c r="AP16" s="485"/>
      <c r="AQ16" s="486"/>
      <c r="AR16" s="486"/>
      <c r="AS16" s="486"/>
      <c r="AT16" s="486"/>
      <c r="AU16" s="486"/>
      <c r="AV16" s="486"/>
      <c r="AW16" s="486"/>
      <c r="AX16" s="486"/>
      <c r="AY16" s="487"/>
      <c r="AZ16" s="487"/>
      <c r="BA16" s="487"/>
      <c r="BB16" s="487"/>
      <c r="BC16" s="488"/>
      <c r="BD16" s="488"/>
      <c r="BE16" s="489"/>
      <c r="BF16" s="490"/>
      <c r="BG16" s="489"/>
      <c r="BH16" s="491"/>
      <c r="BI16" s="489"/>
      <c r="BJ16" s="491"/>
      <c r="BK16" s="489"/>
      <c r="BL16" s="490"/>
      <c r="BM16" s="489"/>
      <c r="BN16" s="491"/>
      <c r="BO16" s="489"/>
      <c r="BP16" s="491"/>
      <c r="BQ16" s="492"/>
      <c r="BR16" s="493"/>
      <c r="BS16" s="489"/>
      <c r="BT16" s="490"/>
      <c r="BU16" s="489"/>
      <c r="BV16" s="491"/>
      <c r="BW16" s="489"/>
      <c r="BX16" s="491"/>
      <c r="BY16" s="489"/>
      <c r="BZ16" s="491"/>
      <c r="CA16" s="489"/>
      <c r="CB16" s="491"/>
      <c r="CC16" s="489"/>
      <c r="CD16" s="491"/>
      <c r="CE16" s="497"/>
      <c r="CF16" s="498"/>
      <c r="CG16" s="489"/>
      <c r="CH16" s="498"/>
    </row>
    <row r="17" spans="1:88" x14ac:dyDescent="0.2">
      <c r="A17" s="444" t="s">
        <v>705</v>
      </c>
      <c r="B17" s="457">
        <v>375</v>
      </c>
      <c r="C17" s="457">
        <v>522</v>
      </c>
      <c r="D17" s="457">
        <v>411</v>
      </c>
      <c r="E17" s="457">
        <v>558</v>
      </c>
      <c r="F17" s="457">
        <v>435</v>
      </c>
      <c r="G17" s="457">
        <v>588</v>
      </c>
      <c r="H17" s="457">
        <v>480</v>
      </c>
      <c r="I17" s="457">
        <v>633</v>
      </c>
      <c r="J17" s="457">
        <v>540</v>
      </c>
      <c r="K17" s="457">
        <v>705</v>
      </c>
      <c r="L17" s="457">
        <v>588</v>
      </c>
      <c r="M17" s="457">
        <v>762</v>
      </c>
      <c r="N17" s="457">
        <v>627</v>
      </c>
      <c r="O17" s="457">
        <v>810</v>
      </c>
      <c r="P17" s="457">
        <v>678</v>
      </c>
      <c r="Q17" s="457">
        <v>876</v>
      </c>
      <c r="R17" s="457">
        <v>738</v>
      </c>
      <c r="S17" s="457">
        <v>951</v>
      </c>
      <c r="T17" s="457">
        <v>822.4</v>
      </c>
      <c r="U17" s="457">
        <v>1068.4000000000001</v>
      </c>
      <c r="V17" s="457">
        <v>849</v>
      </c>
      <c r="W17" s="457">
        <v>1095</v>
      </c>
      <c r="X17" s="457">
        <v>918</v>
      </c>
      <c r="Y17" s="457">
        <v>1200</v>
      </c>
      <c r="Z17" s="457">
        <v>1002</v>
      </c>
      <c r="AA17" s="457">
        <v>1308</v>
      </c>
      <c r="AB17" s="481">
        <v>1071</v>
      </c>
      <c r="AC17" s="481">
        <v>1398</v>
      </c>
      <c r="AD17" s="481">
        <v>1134</v>
      </c>
      <c r="AE17" s="481">
        <v>1458</v>
      </c>
      <c r="AF17" s="481">
        <v>1203</v>
      </c>
      <c r="AG17" s="481">
        <v>1542</v>
      </c>
      <c r="AH17" s="482">
        <v>1287</v>
      </c>
      <c r="AI17" s="482">
        <v>1638</v>
      </c>
      <c r="AJ17" s="483"/>
      <c r="AK17" s="484">
        <v>1377</v>
      </c>
      <c r="AL17" s="484">
        <v>1743</v>
      </c>
      <c r="AM17" s="484">
        <v>1461</v>
      </c>
      <c r="AN17" s="485">
        <v>1854</v>
      </c>
      <c r="AO17" s="485">
        <v>1461</v>
      </c>
      <c r="AP17" s="485">
        <v>1863</v>
      </c>
      <c r="AQ17" s="486">
        <v>1518</v>
      </c>
      <c r="AR17" s="486">
        <v>1935</v>
      </c>
      <c r="AS17" s="486">
        <v>1560</v>
      </c>
      <c r="AT17" s="486">
        <v>1986</v>
      </c>
      <c r="AU17" s="486">
        <v>1606</v>
      </c>
      <c r="AV17" s="486">
        <v>2042</v>
      </c>
      <c r="AW17" s="486">
        <v>1670.24</v>
      </c>
      <c r="AX17" s="486">
        <v>2106.2399999999998</v>
      </c>
      <c r="AY17" s="487">
        <v>1786</v>
      </c>
      <c r="AZ17" s="487">
        <v>2252</v>
      </c>
      <c r="BA17" s="487">
        <v>1947</v>
      </c>
      <c r="BB17" s="487">
        <v>2427</v>
      </c>
      <c r="BC17" s="488">
        <v>2130</v>
      </c>
      <c r="BD17" s="488">
        <v>2632</v>
      </c>
      <c r="BE17" s="489">
        <v>2344</v>
      </c>
      <c r="BF17" s="490">
        <v>2876</v>
      </c>
      <c r="BG17" s="489">
        <v>2573.4</v>
      </c>
      <c r="BH17" s="491">
        <v>3165.2</v>
      </c>
      <c r="BI17" s="489">
        <v>2793</v>
      </c>
      <c r="BJ17" s="491">
        <v>3432</v>
      </c>
      <c r="BK17" s="489">
        <v>2988.4</v>
      </c>
      <c r="BL17" s="490">
        <v>3663</v>
      </c>
      <c r="BM17" s="489">
        <v>3153</v>
      </c>
      <c r="BN17" s="491">
        <v>3854</v>
      </c>
      <c r="BO17" s="489">
        <v>3357.7</v>
      </c>
      <c r="BP17" s="491">
        <v>4088</v>
      </c>
      <c r="BQ17" s="492">
        <v>3559.18</v>
      </c>
      <c r="BR17" s="493">
        <v>4310.8</v>
      </c>
      <c r="BS17" s="489">
        <v>3772.84</v>
      </c>
      <c r="BT17" s="490">
        <v>4547.04</v>
      </c>
      <c r="BU17" s="489">
        <v>3961.4</v>
      </c>
      <c r="BV17" s="491">
        <v>4768.12</v>
      </c>
      <c r="BW17" s="489">
        <v>4159.46</v>
      </c>
      <c r="BX17" s="491">
        <v>4990.3599999999997</v>
      </c>
      <c r="BY17" s="489">
        <v>4325.82</v>
      </c>
      <c r="BZ17" s="491">
        <v>5183.34</v>
      </c>
      <c r="CA17" s="489">
        <v>4455.58</v>
      </c>
      <c r="CB17" s="491">
        <v>5338.9</v>
      </c>
      <c r="CC17" s="489">
        <v>4611.4399999999996</v>
      </c>
      <c r="CD17" s="491">
        <v>5523.16</v>
      </c>
      <c r="CE17" s="489">
        <v>4772.8999999999996</v>
      </c>
      <c r="CF17" s="491">
        <v>5711.9599999999991</v>
      </c>
      <c r="CG17" s="489">
        <v>4892.18</v>
      </c>
      <c r="CH17" s="491">
        <v>5859.42</v>
      </c>
    </row>
    <row r="18" spans="1:88" x14ac:dyDescent="0.2">
      <c r="A18" s="444" t="s">
        <v>708</v>
      </c>
      <c r="B18" s="457">
        <v>937.5</v>
      </c>
      <c r="C18" s="457">
        <v>1084.5</v>
      </c>
      <c r="D18" s="457">
        <v>1029</v>
      </c>
      <c r="E18" s="457">
        <v>1176</v>
      </c>
      <c r="F18" s="457">
        <v>1245</v>
      </c>
      <c r="G18" s="457">
        <v>1398</v>
      </c>
      <c r="H18" s="457">
        <v>1371</v>
      </c>
      <c r="I18" s="457">
        <v>1524</v>
      </c>
      <c r="J18" s="457">
        <v>1620</v>
      </c>
      <c r="K18" s="457">
        <v>1785</v>
      </c>
      <c r="L18" s="457">
        <v>1881</v>
      </c>
      <c r="M18" s="457">
        <v>2055</v>
      </c>
      <c r="N18" s="457">
        <v>2007</v>
      </c>
      <c r="O18" s="457">
        <v>2190</v>
      </c>
      <c r="P18" s="457">
        <v>2169</v>
      </c>
      <c r="Q18" s="457">
        <v>2367</v>
      </c>
      <c r="R18" s="457">
        <v>2361</v>
      </c>
      <c r="S18" s="457">
        <v>2574</v>
      </c>
      <c r="T18" s="457">
        <v>2630.4</v>
      </c>
      <c r="U18" s="457">
        <v>2876.4</v>
      </c>
      <c r="V18" s="457">
        <v>2712</v>
      </c>
      <c r="W18" s="457">
        <v>2964</v>
      </c>
      <c r="X18" s="457">
        <v>2937</v>
      </c>
      <c r="Y18" s="457">
        <v>3219</v>
      </c>
      <c r="Z18" s="457">
        <v>3207</v>
      </c>
      <c r="AA18" s="457">
        <v>3513</v>
      </c>
      <c r="AB18" s="481">
        <v>3426</v>
      </c>
      <c r="AC18" s="481">
        <v>3753</v>
      </c>
      <c r="AD18" s="481">
        <v>3630</v>
      </c>
      <c r="AE18" s="481">
        <v>3954</v>
      </c>
      <c r="AF18" s="481">
        <v>3993</v>
      </c>
      <c r="AG18" s="481">
        <v>4332</v>
      </c>
      <c r="AH18" s="482">
        <v>4515</v>
      </c>
      <c r="AI18" s="482">
        <v>4866</v>
      </c>
      <c r="AJ18" s="483"/>
      <c r="AK18" s="484">
        <v>5148</v>
      </c>
      <c r="AL18" s="484">
        <v>5514</v>
      </c>
      <c r="AM18" s="484">
        <v>5148</v>
      </c>
      <c r="AN18" s="485">
        <v>5541</v>
      </c>
      <c r="AO18" s="485">
        <v>5148</v>
      </c>
      <c r="AP18" s="485">
        <v>5550</v>
      </c>
      <c r="AQ18" s="486">
        <v>5313</v>
      </c>
      <c r="AR18" s="486">
        <v>5730</v>
      </c>
      <c r="AS18" s="486">
        <v>5460</v>
      </c>
      <c r="AT18" s="486">
        <v>5886</v>
      </c>
      <c r="AU18" s="486">
        <v>5622</v>
      </c>
      <c r="AV18" s="486">
        <v>6058</v>
      </c>
      <c r="AW18" s="486">
        <v>5846.88</v>
      </c>
      <c r="AX18" s="486">
        <v>6282.88</v>
      </c>
      <c r="AY18" s="487">
        <v>6252</v>
      </c>
      <c r="AZ18" s="487">
        <v>6718</v>
      </c>
      <c r="BA18" s="487">
        <v>6815</v>
      </c>
      <c r="BB18" s="487">
        <v>7295</v>
      </c>
      <c r="BC18" s="488">
        <v>7456</v>
      </c>
      <c r="BD18" s="488">
        <v>7958</v>
      </c>
      <c r="BE18" s="489">
        <v>8204</v>
      </c>
      <c r="BF18" s="490">
        <v>8736</v>
      </c>
      <c r="BG18" s="489">
        <v>9007</v>
      </c>
      <c r="BH18" s="491">
        <v>9599</v>
      </c>
      <c r="BI18" s="489">
        <v>9776</v>
      </c>
      <c r="BJ18" s="491">
        <v>10415</v>
      </c>
      <c r="BK18" s="489">
        <v>10459</v>
      </c>
      <c r="BL18" s="490">
        <v>11134</v>
      </c>
      <c r="BM18" s="489">
        <v>10459</v>
      </c>
      <c r="BN18" s="491">
        <v>11161</v>
      </c>
      <c r="BO18" s="489">
        <v>10825.32</v>
      </c>
      <c r="BP18" s="491">
        <v>11555</v>
      </c>
      <c r="BQ18" s="492">
        <v>11149.76</v>
      </c>
      <c r="BR18" s="493">
        <v>11901.38</v>
      </c>
      <c r="BS18" s="489">
        <v>11484.18</v>
      </c>
      <c r="BT18" s="490">
        <v>12258.38</v>
      </c>
      <c r="BU18" s="489">
        <v>12058.36</v>
      </c>
      <c r="BV18" s="491">
        <v>12865.08</v>
      </c>
      <c r="BW18" s="489">
        <f>6240.17*2</f>
        <v>12480.34</v>
      </c>
      <c r="BX18" s="491">
        <f>6655.62*2</f>
        <v>13311.24</v>
      </c>
      <c r="BY18" s="489">
        <v>12979.62</v>
      </c>
      <c r="BZ18" s="491">
        <v>13837.14</v>
      </c>
      <c r="CA18" s="489">
        <v>13369</v>
      </c>
      <c r="CB18" s="491">
        <v>14252.32</v>
      </c>
      <c r="CC18" s="489">
        <v>13837</v>
      </c>
      <c r="CD18" s="491">
        <v>14749</v>
      </c>
      <c r="CE18" s="489">
        <v>14320.94</v>
      </c>
      <c r="CF18" s="491">
        <v>15260</v>
      </c>
      <c r="CG18" s="489">
        <v>14679</v>
      </c>
      <c r="CH18" s="491">
        <v>15646.24</v>
      </c>
      <c r="CJ18" s="494"/>
    </row>
    <row r="19" spans="1:88" ht="8.1" customHeight="1" x14ac:dyDescent="0.2">
      <c r="A19" s="444"/>
      <c r="B19" s="457"/>
      <c r="C19" s="457"/>
      <c r="D19" s="457"/>
      <c r="E19" s="457"/>
      <c r="F19" s="457"/>
      <c r="G19" s="457"/>
      <c r="H19" s="457"/>
      <c r="I19" s="457"/>
      <c r="J19" s="457"/>
      <c r="K19" s="457"/>
      <c r="L19" s="457"/>
      <c r="M19" s="457"/>
      <c r="N19" s="457"/>
      <c r="O19" s="457"/>
      <c r="P19" s="457"/>
      <c r="Q19" s="457"/>
      <c r="R19" s="457"/>
      <c r="S19" s="457"/>
      <c r="T19" s="457"/>
      <c r="U19" s="457"/>
      <c r="V19" s="457"/>
      <c r="W19" s="457"/>
      <c r="X19" s="457"/>
      <c r="Y19" s="457"/>
      <c r="Z19" s="457"/>
      <c r="AA19" s="457"/>
      <c r="AB19" s="481"/>
      <c r="AC19" s="481"/>
      <c r="AD19" s="481"/>
      <c r="AE19" s="481"/>
      <c r="AF19" s="481"/>
      <c r="AG19" s="481"/>
      <c r="AH19" s="495"/>
      <c r="AI19" s="495"/>
      <c r="AJ19" s="496"/>
      <c r="AK19" s="484"/>
      <c r="AL19" s="484"/>
      <c r="AM19" s="484"/>
      <c r="AN19" s="485"/>
      <c r="AO19" s="485"/>
      <c r="AP19" s="485"/>
      <c r="AQ19" s="486"/>
      <c r="AR19" s="486"/>
      <c r="AS19" s="486"/>
      <c r="AT19" s="486"/>
      <c r="AU19" s="486"/>
      <c r="AV19" s="486"/>
      <c r="AW19" s="486"/>
      <c r="AX19" s="486"/>
      <c r="AY19" s="487"/>
      <c r="AZ19" s="487"/>
      <c r="BA19" s="487"/>
      <c r="BB19" s="487"/>
      <c r="BC19" s="488"/>
      <c r="BD19" s="488"/>
      <c r="BE19" s="489"/>
      <c r="BF19" s="490"/>
      <c r="BG19" s="489"/>
      <c r="BH19" s="491"/>
      <c r="BI19" s="489"/>
      <c r="BJ19" s="491"/>
      <c r="BK19" s="489"/>
      <c r="BL19" s="490"/>
      <c r="BM19" s="489"/>
      <c r="BN19" s="491"/>
      <c r="BO19" s="489"/>
      <c r="BP19" s="491"/>
      <c r="BQ19" s="492"/>
      <c r="BR19" s="493"/>
      <c r="BS19" s="489"/>
      <c r="BT19" s="490"/>
      <c r="BU19" s="489"/>
      <c r="BV19" s="491"/>
      <c r="BW19" s="489"/>
      <c r="BX19" s="491"/>
      <c r="BY19" s="489"/>
      <c r="BZ19" s="491"/>
      <c r="CA19" s="489"/>
      <c r="CB19" s="491"/>
      <c r="CC19" s="489"/>
      <c r="CD19" s="491"/>
      <c r="CE19" s="497"/>
      <c r="CF19" s="498"/>
      <c r="CG19" s="489"/>
      <c r="CH19" s="498"/>
    </row>
    <row r="20" spans="1:88" x14ac:dyDescent="0.2">
      <c r="A20" s="444" t="s">
        <v>6</v>
      </c>
      <c r="B20" s="457"/>
      <c r="C20" s="457"/>
      <c r="D20" s="457"/>
      <c r="E20" s="457"/>
      <c r="F20" s="457"/>
      <c r="G20" s="457"/>
      <c r="H20" s="457"/>
      <c r="I20" s="457"/>
      <c r="J20" s="457"/>
      <c r="K20" s="457"/>
      <c r="L20" s="457"/>
      <c r="M20" s="457"/>
      <c r="N20" s="457"/>
      <c r="O20" s="457"/>
      <c r="P20" s="457"/>
      <c r="Q20" s="457"/>
      <c r="R20" s="457"/>
      <c r="S20" s="457"/>
      <c r="T20" s="457"/>
      <c r="U20" s="457"/>
      <c r="V20" s="457"/>
      <c r="W20" s="457"/>
      <c r="X20" s="457"/>
      <c r="Y20" s="457"/>
      <c r="Z20" s="457"/>
      <c r="AA20" s="457"/>
      <c r="AB20" s="481"/>
      <c r="AC20" s="481"/>
      <c r="AD20" s="481"/>
      <c r="AE20" s="481"/>
      <c r="AF20" s="481"/>
      <c r="AG20" s="481"/>
      <c r="AH20" s="495"/>
      <c r="AI20" s="495"/>
      <c r="AJ20" s="496"/>
      <c r="AK20" s="484"/>
      <c r="AL20" s="484"/>
      <c r="AM20" s="484"/>
      <c r="AN20" s="485"/>
      <c r="AO20" s="485"/>
      <c r="AP20" s="485"/>
      <c r="AQ20" s="486"/>
      <c r="AR20" s="486"/>
      <c r="AS20" s="486"/>
      <c r="AT20" s="486"/>
      <c r="AU20" s="486"/>
      <c r="AV20" s="486"/>
      <c r="AW20" s="486"/>
      <c r="AX20" s="486"/>
      <c r="AY20" s="487"/>
      <c r="AZ20" s="487"/>
      <c r="BA20" s="487"/>
      <c r="BB20" s="487"/>
      <c r="BC20" s="488"/>
      <c r="BD20" s="488"/>
      <c r="BE20" s="489"/>
      <c r="BF20" s="490"/>
      <c r="BG20" s="489"/>
      <c r="BH20" s="491"/>
      <c r="BI20" s="489"/>
      <c r="BJ20" s="491"/>
      <c r="BK20" s="489"/>
      <c r="BL20" s="490"/>
      <c r="BM20" s="489"/>
      <c r="BN20" s="491"/>
      <c r="BO20" s="489"/>
      <c r="BP20" s="491"/>
      <c r="BQ20" s="492"/>
      <c r="BR20" s="493"/>
      <c r="BS20" s="489"/>
      <c r="BT20" s="490"/>
      <c r="BU20" s="489"/>
      <c r="BV20" s="491"/>
      <c r="BW20" s="489"/>
      <c r="BX20" s="491"/>
      <c r="BY20" s="489"/>
      <c r="BZ20" s="491"/>
      <c r="CA20" s="489"/>
      <c r="CB20" s="491"/>
      <c r="CC20" s="489"/>
      <c r="CD20" s="491"/>
      <c r="CE20" s="497"/>
      <c r="CF20" s="498"/>
      <c r="CG20" s="489"/>
      <c r="CH20" s="498"/>
    </row>
    <row r="21" spans="1:88" ht="12.95" customHeight="1" x14ac:dyDescent="0.2">
      <c r="A21" s="444" t="s">
        <v>705</v>
      </c>
      <c r="B21" s="457">
        <v>360</v>
      </c>
      <c r="C21" s="457">
        <v>504</v>
      </c>
      <c r="D21" s="457">
        <v>390</v>
      </c>
      <c r="E21" s="457">
        <v>534</v>
      </c>
      <c r="F21" s="457">
        <v>420</v>
      </c>
      <c r="G21" s="457">
        <v>564</v>
      </c>
      <c r="H21" s="457">
        <v>462</v>
      </c>
      <c r="I21" s="457">
        <v>627</v>
      </c>
      <c r="J21" s="457">
        <v>519</v>
      </c>
      <c r="K21" s="457">
        <v>684</v>
      </c>
      <c r="L21" s="457">
        <v>561</v>
      </c>
      <c r="M21" s="457">
        <v>735</v>
      </c>
      <c r="N21" s="457">
        <v>597</v>
      </c>
      <c r="O21" s="457">
        <v>789</v>
      </c>
      <c r="P21" s="457">
        <f>215*3</f>
        <v>645</v>
      </c>
      <c r="Q21" s="457">
        <f>284*3</f>
        <v>852</v>
      </c>
      <c r="R21" s="457">
        <v>702</v>
      </c>
      <c r="S21" s="457">
        <v>922.5</v>
      </c>
      <c r="T21" s="457">
        <v>780.8</v>
      </c>
      <c r="U21" s="457">
        <v>1014.8</v>
      </c>
      <c r="V21" s="457">
        <v>804</v>
      </c>
      <c r="W21" s="457">
        <v>1068</v>
      </c>
      <c r="X21" s="457">
        <v>870</v>
      </c>
      <c r="Y21" s="457">
        <v>1164</v>
      </c>
      <c r="Z21" s="457">
        <v>948</v>
      </c>
      <c r="AA21" s="457">
        <v>1242</v>
      </c>
      <c r="AB21" s="481">
        <v>1014</v>
      </c>
      <c r="AC21" s="481">
        <v>1350</v>
      </c>
      <c r="AD21" s="481">
        <v>1074</v>
      </c>
      <c r="AE21" s="481">
        <v>1419</v>
      </c>
      <c r="AF21" s="481">
        <v>1140</v>
      </c>
      <c r="AG21" s="481">
        <v>1497</v>
      </c>
      <c r="AH21" s="482">
        <v>1221</v>
      </c>
      <c r="AI21" s="482">
        <v>1599</v>
      </c>
      <c r="AJ21" s="483"/>
      <c r="AK21" s="484">
        <v>1308</v>
      </c>
      <c r="AL21" s="484">
        <v>1698</v>
      </c>
      <c r="AM21" s="484">
        <v>1386</v>
      </c>
      <c r="AN21" s="485">
        <v>1776</v>
      </c>
      <c r="AO21" s="485">
        <v>1386</v>
      </c>
      <c r="AP21" s="485">
        <v>1800</v>
      </c>
      <c r="AQ21" s="486">
        <v>1440</v>
      </c>
      <c r="AR21" s="486">
        <v>1854</v>
      </c>
      <c r="AS21" s="486">
        <v>1480</v>
      </c>
      <c r="AT21" s="486">
        <v>1909</v>
      </c>
      <c r="AU21" s="486">
        <v>1524</v>
      </c>
      <c r="AV21" s="486">
        <v>1965</v>
      </c>
      <c r="AW21" s="486">
        <v>1612.7</v>
      </c>
      <c r="AX21" s="486">
        <v>2066.6999999999998</v>
      </c>
      <c r="AY21" s="487">
        <v>1732</v>
      </c>
      <c r="AZ21" s="487">
        <v>2194</v>
      </c>
      <c r="BA21" s="487">
        <v>1888</v>
      </c>
      <c r="BB21" s="487">
        <v>2350</v>
      </c>
      <c r="BC21" s="488">
        <v>2332</v>
      </c>
      <c r="BD21" s="488">
        <v>2794</v>
      </c>
      <c r="BE21" s="489">
        <v>2588</v>
      </c>
      <c r="BF21" s="490">
        <v>3054</v>
      </c>
      <c r="BG21" s="489">
        <v>2834</v>
      </c>
      <c r="BH21" s="491">
        <v>3358</v>
      </c>
      <c r="BI21" s="489">
        <v>3060</v>
      </c>
      <c r="BJ21" s="491">
        <v>3565</v>
      </c>
      <c r="BK21" s="489">
        <v>3274</v>
      </c>
      <c r="BL21" s="490">
        <v>3796</v>
      </c>
      <c r="BM21" s="489">
        <v>3502</v>
      </c>
      <c r="BN21" s="491">
        <v>4028</v>
      </c>
      <c r="BO21" s="489">
        <v>3730</v>
      </c>
      <c r="BP21" s="491">
        <v>4269</v>
      </c>
      <c r="BQ21" s="492">
        <v>4196</v>
      </c>
      <c r="BR21" s="493">
        <v>4736</v>
      </c>
      <c r="BS21" s="489">
        <v>4658</v>
      </c>
      <c r="BT21" s="490">
        <v>5198</v>
      </c>
      <c r="BU21" s="489">
        <v>4960</v>
      </c>
      <c r="BV21" s="491">
        <v>5576</v>
      </c>
      <c r="BW21" s="489">
        <v>5208</v>
      </c>
      <c r="BX21" s="491">
        <v>5924</v>
      </c>
      <c r="BY21" s="489">
        <v>5416</v>
      </c>
      <c r="BZ21" s="491">
        <v>6138</v>
      </c>
      <c r="CA21" s="489">
        <v>5578</v>
      </c>
      <c r="CB21" s="491">
        <v>6299.5</v>
      </c>
      <c r="CC21" s="489">
        <v>5774</v>
      </c>
      <c r="CD21" s="491">
        <v>6529.5</v>
      </c>
      <c r="CE21" s="489">
        <v>5918</v>
      </c>
      <c r="CF21" s="491">
        <v>6675.5</v>
      </c>
      <c r="CG21" s="489">
        <v>6006</v>
      </c>
      <c r="CH21" s="491">
        <v>6769.5</v>
      </c>
    </row>
    <row r="22" spans="1:88" x14ac:dyDescent="0.2">
      <c r="A22" s="444" t="s">
        <v>708</v>
      </c>
      <c r="B22" s="457">
        <v>900</v>
      </c>
      <c r="C22" s="457">
        <v>1044</v>
      </c>
      <c r="D22" s="457">
        <v>975</v>
      </c>
      <c r="E22" s="457">
        <v>1119</v>
      </c>
      <c r="F22" s="457">
        <v>1200</v>
      </c>
      <c r="G22" s="457">
        <v>1344</v>
      </c>
      <c r="H22" s="457">
        <v>1320</v>
      </c>
      <c r="I22" s="457">
        <v>1485</v>
      </c>
      <c r="J22" s="457">
        <v>1557</v>
      </c>
      <c r="K22" s="457">
        <v>1732</v>
      </c>
      <c r="L22" s="457">
        <v>1797</v>
      </c>
      <c r="M22" s="457">
        <v>1971</v>
      </c>
      <c r="N22" s="457">
        <v>1914</v>
      </c>
      <c r="O22" s="457">
        <v>2106</v>
      </c>
      <c r="P22" s="457">
        <f>688*3</f>
        <v>2064</v>
      </c>
      <c r="Q22" s="457">
        <f>757*3</f>
        <v>2271</v>
      </c>
      <c r="R22" s="457">
        <v>2247</v>
      </c>
      <c r="S22" s="457">
        <v>2467.5</v>
      </c>
      <c r="T22" s="457">
        <v>2496</v>
      </c>
      <c r="U22" s="457">
        <v>2730</v>
      </c>
      <c r="V22" s="457">
        <v>2574</v>
      </c>
      <c r="W22" s="457">
        <v>2838</v>
      </c>
      <c r="X22" s="457">
        <v>2781</v>
      </c>
      <c r="Y22" s="457">
        <v>3075</v>
      </c>
      <c r="Z22" s="457">
        <v>3033</v>
      </c>
      <c r="AA22" s="457">
        <v>3327</v>
      </c>
      <c r="AB22" s="481">
        <v>3246</v>
      </c>
      <c r="AC22" s="481">
        <v>3582</v>
      </c>
      <c r="AD22" s="481">
        <v>3441</v>
      </c>
      <c r="AE22" s="481">
        <v>3786</v>
      </c>
      <c r="AF22" s="481">
        <v>3786</v>
      </c>
      <c r="AG22" s="481">
        <v>4143</v>
      </c>
      <c r="AH22" s="482">
        <v>4362</v>
      </c>
      <c r="AI22" s="482">
        <v>4740</v>
      </c>
      <c r="AJ22" s="483"/>
      <c r="AK22" s="484">
        <v>5238</v>
      </c>
      <c r="AL22" s="484">
        <v>5628</v>
      </c>
      <c r="AM22" s="484">
        <v>5238</v>
      </c>
      <c r="AN22" s="485">
        <v>5628</v>
      </c>
      <c r="AO22" s="485">
        <v>5238</v>
      </c>
      <c r="AP22" s="485">
        <v>5652</v>
      </c>
      <c r="AQ22" s="486">
        <v>5439</v>
      </c>
      <c r="AR22" s="486">
        <v>5853</v>
      </c>
      <c r="AS22" s="486">
        <v>5586</v>
      </c>
      <c r="AT22" s="486">
        <v>6015</v>
      </c>
      <c r="AU22" s="486">
        <v>5754</v>
      </c>
      <c r="AV22" s="486">
        <v>6195</v>
      </c>
      <c r="AW22" s="486">
        <v>6088.88</v>
      </c>
      <c r="AX22" s="486">
        <v>6542.88</v>
      </c>
      <c r="AY22" s="487">
        <v>6314</v>
      </c>
      <c r="AZ22" s="487">
        <v>6776</v>
      </c>
      <c r="BA22" s="487">
        <v>6882</v>
      </c>
      <c r="BB22" s="487">
        <v>7344</v>
      </c>
      <c r="BC22" s="488">
        <v>7696</v>
      </c>
      <c r="BD22" s="488">
        <v>8158</v>
      </c>
      <c r="BE22" s="489">
        <v>8542</v>
      </c>
      <c r="BF22" s="490">
        <v>9008</v>
      </c>
      <c r="BG22" s="489">
        <v>9353</v>
      </c>
      <c r="BH22" s="491">
        <v>9877</v>
      </c>
      <c r="BI22" s="489">
        <v>10098</v>
      </c>
      <c r="BJ22" s="491">
        <v>10602.5</v>
      </c>
      <c r="BK22" s="489">
        <v>10805</v>
      </c>
      <c r="BL22" s="490">
        <v>11327</v>
      </c>
      <c r="BM22" s="489">
        <v>11560</v>
      </c>
      <c r="BN22" s="491">
        <v>12086</v>
      </c>
      <c r="BO22" s="489">
        <v>12308</v>
      </c>
      <c r="BP22" s="491">
        <v>12847</v>
      </c>
      <c r="BQ22" s="492">
        <v>13846</v>
      </c>
      <c r="BR22" s="493">
        <v>14386</v>
      </c>
      <c r="BS22" s="489">
        <v>15370</v>
      </c>
      <c r="BT22" s="490">
        <v>15910</v>
      </c>
      <c r="BU22" s="489">
        <v>16368</v>
      </c>
      <c r="BV22" s="491">
        <v>16984</v>
      </c>
      <c r="BW22" s="489">
        <f>8593*2</f>
        <v>17186</v>
      </c>
      <c r="BX22" s="491">
        <f>8951*2</f>
        <v>17902</v>
      </c>
      <c r="BY22" s="489">
        <v>17874</v>
      </c>
      <c r="BZ22" s="491">
        <v>18596</v>
      </c>
      <c r="CA22" s="489">
        <v>18410</v>
      </c>
      <c r="CB22" s="491">
        <v>19131.5</v>
      </c>
      <c r="CC22" s="489">
        <v>19054</v>
      </c>
      <c r="CD22" s="491">
        <v>19810</v>
      </c>
      <c r="CE22" s="489">
        <v>19530</v>
      </c>
      <c r="CF22" s="491">
        <v>20287.5</v>
      </c>
      <c r="CG22" s="489">
        <v>19822</v>
      </c>
      <c r="CH22" s="491">
        <v>20585.5</v>
      </c>
      <c r="CJ22" s="494"/>
    </row>
    <row r="23" spans="1:88" ht="8.1" customHeight="1" x14ac:dyDescent="0.2">
      <c r="A23" s="444"/>
      <c r="B23" s="457"/>
      <c r="C23" s="457"/>
      <c r="D23" s="457"/>
      <c r="E23" s="457"/>
      <c r="F23" s="457"/>
      <c r="G23" s="457"/>
      <c r="H23" s="457"/>
      <c r="I23" s="457"/>
      <c r="J23" s="457"/>
      <c r="K23" s="457"/>
      <c r="L23" s="457"/>
      <c r="M23" s="457"/>
      <c r="N23" s="457"/>
      <c r="O23" s="457"/>
      <c r="P23" s="457"/>
      <c r="Q23" s="457"/>
      <c r="R23" s="457"/>
      <c r="S23" s="457"/>
      <c r="T23" s="457"/>
      <c r="U23" s="457"/>
      <c r="V23" s="457"/>
      <c r="W23" s="457"/>
      <c r="X23" s="457"/>
      <c r="Y23" s="457"/>
      <c r="Z23" s="457"/>
      <c r="AA23" s="457"/>
      <c r="AB23" s="481"/>
      <c r="AC23" s="481"/>
      <c r="AD23" s="481"/>
      <c r="AE23" s="481"/>
      <c r="AF23" s="481"/>
      <c r="AG23" s="481"/>
      <c r="AH23" s="495"/>
      <c r="AI23" s="495"/>
      <c r="AJ23" s="496"/>
      <c r="AK23" s="484"/>
      <c r="AL23" s="484"/>
      <c r="AM23" s="484"/>
      <c r="AN23" s="485"/>
      <c r="AO23" s="485"/>
      <c r="AP23" s="485"/>
      <c r="AQ23" s="486"/>
      <c r="AR23" s="486"/>
      <c r="AS23" s="486"/>
      <c r="AT23" s="486"/>
      <c r="AU23" s="486"/>
      <c r="AV23" s="486"/>
      <c r="AW23" s="486"/>
      <c r="AX23" s="486"/>
      <c r="AY23" s="487"/>
      <c r="AZ23" s="487"/>
      <c r="BA23" s="487"/>
      <c r="BB23" s="487"/>
      <c r="BC23" s="488"/>
      <c r="BD23" s="488"/>
      <c r="BE23" s="489"/>
      <c r="BF23" s="490"/>
      <c r="BG23" s="489"/>
      <c r="BH23" s="491"/>
      <c r="BI23" s="489"/>
      <c r="BJ23" s="491"/>
      <c r="BK23" s="489"/>
      <c r="BL23" s="490"/>
      <c r="BM23" s="489"/>
      <c r="BN23" s="491"/>
      <c r="BO23" s="489"/>
      <c r="BP23" s="491"/>
      <c r="BQ23" s="492"/>
      <c r="BR23" s="493"/>
      <c r="BS23" s="489"/>
      <c r="BT23" s="490"/>
      <c r="BU23" s="489"/>
      <c r="BV23" s="491"/>
      <c r="BW23" s="489"/>
      <c r="BX23" s="491"/>
      <c r="BY23" s="489"/>
      <c r="BZ23" s="491"/>
      <c r="CA23" s="489"/>
      <c r="CB23" s="491"/>
      <c r="CC23" s="489"/>
      <c r="CD23" s="491"/>
      <c r="CE23" s="497"/>
      <c r="CF23" s="498"/>
      <c r="CG23" s="489"/>
      <c r="CH23" s="498"/>
    </row>
    <row r="24" spans="1:88" ht="15" x14ac:dyDescent="0.2">
      <c r="A24" s="444" t="s">
        <v>710</v>
      </c>
      <c r="B24" s="457"/>
      <c r="C24" s="457"/>
      <c r="D24" s="457"/>
      <c r="E24" s="457"/>
      <c r="F24" s="457"/>
      <c r="G24" s="457"/>
      <c r="H24" s="457"/>
      <c r="I24" s="457"/>
      <c r="J24" s="457"/>
      <c r="K24" s="457"/>
      <c r="L24" s="457"/>
      <c r="M24" s="457"/>
      <c r="N24" s="457"/>
      <c r="O24" s="457"/>
      <c r="P24" s="457"/>
      <c r="Q24" s="457"/>
      <c r="R24" s="457"/>
      <c r="S24" s="457"/>
      <c r="T24" s="457"/>
      <c r="U24" s="457"/>
      <c r="V24" s="457"/>
      <c r="W24" s="457"/>
      <c r="X24" s="457"/>
      <c r="Y24" s="457"/>
      <c r="Z24" s="457"/>
      <c r="AA24" s="457"/>
      <c r="AB24" s="481"/>
      <c r="AC24" s="481"/>
      <c r="AD24" s="481"/>
      <c r="AE24" s="481"/>
      <c r="AF24" s="481"/>
      <c r="AG24" s="481"/>
      <c r="AH24" s="495"/>
      <c r="AI24" s="495"/>
      <c r="AJ24" s="496"/>
      <c r="AK24" s="484"/>
      <c r="AL24" s="484"/>
      <c r="AM24" s="484"/>
      <c r="AN24" s="485"/>
      <c r="AO24" s="485"/>
      <c r="AP24" s="485"/>
      <c r="AQ24" s="486"/>
      <c r="AR24" s="486"/>
      <c r="AS24" s="486"/>
      <c r="AT24" s="486"/>
      <c r="AU24" s="486"/>
      <c r="AV24" s="486"/>
      <c r="AW24" s="486"/>
      <c r="AX24" s="486"/>
      <c r="AY24" s="487"/>
      <c r="AZ24" s="487"/>
      <c r="BA24" s="487"/>
      <c r="BB24" s="487"/>
      <c r="BC24" s="488"/>
      <c r="BD24" s="488"/>
      <c r="BE24" s="489"/>
      <c r="BF24" s="490"/>
      <c r="BG24" s="489"/>
      <c r="BH24" s="491"/>
      <c r="BI24" s="489"/>
      <c r="BJ24" s="491"/>
      <c r="BK24" s="489"/>
      <c r="BL24" s="490"/>
      <c r="BM24" s="489"/>
      <c r="BN24" s="491"/>
      <c r="BO24" s="489"/>
      <c r="BP24" s="491"/>
      <c r="BQ24" s="492"/>
      <c r="BR24" s="493"/>
      <c r="BS24" s="489"/>
      <c r="BT24" s="490"/>
      <c r="BU24" s="489"/>
      <c r="BV24" s="491"/>
      <c r="BW24" s="489"/>
      <c r="BX24" s="491"/>
      <c r="BY24" s="489"/>
      <c r="BZ24" s="491"/>
      <c r="CA24" s="489"/>
      <c r="CB24" s="491"/>
      <c r="CC24" s="489"/>
      <c r="CD24" s="491"/>
      <c r="CE24" s="497"/>
      <c r="CF24" s="498"/>
      <c r="CG24" s="489"/>
      <c r="CH24" s="498"/>
    </row>
    <row r="25" spans="1:88" x14ac:dyDescent="0.2">
      <c r="A25" s="444" t="s">
        <v>705</v>
      </c>
      <c r="B25" s="457">
        <v>300</v>
      </c>
      <c r="C25" s="457">
        <v>459</v>
      </c>
      <c r="D25" s="457">
        <v>330</v>
      </c>
      <c r="E25" s="457">
        <v>504</v>
      </c>
      <c r="F25" s="457">
        <v>351</v>
      </c>
      <c r="G25" s="457">
        <v>528</v>
      </c>
      <c r="H25" s="457">
        <v>387</v>
      </c>
      <c r="I25" s="457">
        <v>576</v>
      </c>
      <c r="J25" s="457">
        <v>435</v>
      </c>
      <c r="K25" s="457">
        <v>630</v>
      </c>
      <c r="L25" s="457">
        <v>471</v>
      </c>
      <c r="M25" s="457">
        <v>666</v>
      </c>
      <c r="N25" s="457">
        <v>501</v>
      </c>
      <c r="O25" s="457">
        <v>696</v>
      </c>
      <c r="P25" s="457">
        <f>174*3</f>
        <v>522</v>
      </c>
      <c r="Q25" s="457">
        <f>241*3</f>
        <v>723</v>
      </c>
      <c r="R25" s="457">
        <v>570</v>
      </c>
      <c r="S25" s="457">
        <v>780</v>
      </c>
      <c r="T25" s="457">
        <v>630.4</v>
      </c>
      <c r="U25" s="457">
        <v>852.4</v>
      </c>
      <c r="V25" s="457">
        <v>651</v>
      </c>
      <c r="W25" s="457">
        <v>873</v>
      </c>
      <c r="X25" s="457">
        <v>690</v>
      </c>
      <c r="Y25" s="457">
        <v>924</v>
      </c>
      <c r="Z25" s="457">
        <v>738</v>
      </c>
      <c r="AA25" s="457">
        <v>972</v>
      </c>
      <c r="AB25" s="481">
        <v>759</v>
      </c>
      <c r="AC25" s="481">
        <v>1005</v>
      </c>
      <c r="AD25" s="481">
        <v>789</v>
      </c>
      <c r="AE25" s="481">
        <v>1035</v>
      </c>
      <c r="AF25" s="481">
        <v>822</v>
      </c>
      <c r="AG25" s="481">
        <v>1068</v>
      </c>
      <c r="AH25" s="482">
        <v>855</v>
      </c>
      <c r="AI25" s="482">
        <v>1125</v>
      </c>
      <c r="AJ25" s="483"/>
      <c r="AK25" s="484">
        <v>903</v>
      </c>
      <c r="AL25" s="484">
        <v>1173</v>
      </c>
      <c r="AM25" s="484">
        <v>948</v>
      </c>
      <c r="AN25" s="485">
        <v>1218</v>
      </c>
      <c r="AO25" s="485">
        <v>948</v>
      </c>
      <c r="AP25" s="485">
        <v>1218</v>
      </c>
      <c r="AQ25" s="486">
        <v>984</v>
      </c>
      <c r="AR25" s="486">
        <v>1254</v>
      </c>
      <c r="AS25" s="486">
        <v>1011</v>
      </c>
      <c r="AT25" s="486">
        <v>1281</v>
      </c>
      <c r="AU25" s="486">
        <v>1042</v>
      </c>
      <c r="AV25" s="486">
        <v>1312</v>
      </c>
      <c r="AW25" s="486">
        <v>1083.68</v>
      </c>
      <c r="AX25" s="486">
        <v>1353.68</v>
      </c>
      <c r="AY25" s="487">
        <v>1144</v>
      </c>
      <c r="AZ25" s="487">
        <v>1414</v>
      </c>
      <c r="BA25" s="487">
        <v>1252.68</v>
      </c>
      <c r="BB25" s="487">
        <v>1522.68</v>
      </c>
      <c r="BC25" s="488">
        <v>1370</v>
      </c>
      <c r="BD25" s="488">
        <v>1670</v>
      </c>
      <c r="BE25" s="489">
        <v>1494</v>
      </c>
      <c r="BF25" s="490">
        <v>1794</v>
      </c>
      <c r="BG25" s="489">
        <v>1636</v>
      </c>
      <c r="BH25" s="491">
        <v>1996</v>
      </c>
      <c r="BI25" s="489">
        <v>1784</v>
      </c>
      <c r="BJ25" s="491">
        <v>2164</v>
      </c>
      <c r="BK25" s="489">
        <v>1882</v>
      </c>
      <c r="BL25" s="490">
        <v>2262</v>
      </c>
      <c r="BM25" s="489">
        <v>1967</v>
      </c>
      <c r="BN25" s="491">
        <v>2347</v>
      </c>
      <c r="BO25" s="489">
        <v>2152</v>
      </c>
      <c r="BP25" s="491">
        <v>2542</v>
      </c>
      <c r="BQ25" s="492">
        <v>2356</v>
      </c>
      <c r="BR25" s="493">
        <v>2746</v>
      </c>
      <c r="BS25" s="489">
        <v>2520</v>
      </c>
      <c r="BT25" s="490">
        <v>2910</v>
      </c>
      <c r="BU25" s="489">
        <v>2696</v>
      </c>
      <c r="BV25" s="491">
        <v>3086</v>
      </c>
      <c r="BW25" s="489">
        <v>2830</v>
      </c>
      <c r="BX25" s="491">
        <v>3220</v>
      </c>
      <c r="BY25" s="489">
        <v>2998</v>
      </c>
      <c r="BZ25" s="491">
        <v>3388</v>
      </c>
      <c r="CA25" s="489">
        <v>3088</v>
      </c>
      <c r="CB25" s="491">
        <v>3484</v>
      </c>
      <c r="CC25" s="489">
        <v>3196</v>
      </c>
      <c r="CD25" s="491">
        <v>3592</v>
      </c>
      <c r="CE25" s="489">
        <v>3276</v>
      </c>
      <c r="CF25" s="491">
        <v>3692</v>
      </c>
      <c r="CG25" s="489">
        <v>3326</v>
      </c>
      <c r="CH25" s="491">
        <v>3742</v>
      </c>
    </row>
    <row r="26" spans="1:88" x14ac:dyDescent="0.2">
      <c r="A26" s="444" t="s">
        <v>708</v>
      </c>
      <c r="B26" s="457">
        <v>750</v>
      </c>
      <c r="C26" s="457">
        <v>909</v>
      </c>
      <c r="D26" s="457">
        <v>825</v>
      </c>
      <c r="E26" s="457">
        <v>999</v>
      </c>
      <c r="F26" s="457">
        <v>999</v>
      </c>
      <c r="G26" s="457">
        <v>1176</v>
      </c>
      <c r="H26" s="457">
        <v>1104</v>
      </c>
      <c r="I26" s="457">
        <v>1293</v>
      </c>
      <c r="J26" s="457">
        <v>1305</v>
      </c>
      <c r="K26" s="457">
        <v>1500</v>
      </c>
      <c r="L26" s="457">
        <v>1509</v>
      </c>
      <c r="M26" s="457">
        <v>1704</v>
      </c>
      <c r="N26" s="457">
        <v>1608</v>
      </c>
      <c r="O26" s="457">
        <v>1803</v>
      </c>
      <c r="P26" s="457">
        <f>557*3</f>
        <v>1671</v>
      </c>
      <c r="Q26" s="457">
        <f>624*3</f>
        <v>1872</v>
      </c>
      <c r="R26" s="457">
        <v>1821</v>
      </c>
      <c r="S26" s="457">
        <v>2031</v>
      </c>
      <c r="T26" s="457">
        <v>2019.2</v>
      </c>
      <c r="U26" s="457">
        <v>2241.1999999999998</v>
      </c>
      <c r="V26" s="457">
        <v>2082</v>
      </c>
      <c r="W26" s="457">
        <v>2304</v>
      </c>
      <c r="X26" s="457">
        <v>2208</v>
      </c>
      <c r="Y26" s="457">
        <v>2442</v>
      </c>
      <c r="Z26" s="457">
        <v>2364</v>
      </c>
      <c r="AA26" s="457">
        <v>2598</v>
      </c>
      <c r="AB26" s="481">
        <v>2433</v>
      </c>
      <c r="AC26" s="481">
        <v>2679</v>
      </c>
      <c r="AD26" s="481">
        <v>2529</v>
      </c>
      <c r="AE26" s="481">
        <v>2775</v>
      </c>
      <c r="AF26" s="481">
        <v>3657</v>
      </c>
      <c r="AG26" s="481">
        <v>3903</v>
      </c>
      <c r="AH26" s="482">
        <v>4410</v>
      </c>
      <c r="AI26" s="482">
        <v>4680</v>
      </c>
      <c r="AJ26" s="483"/>
      <c r="AK26" s="484">
        <v>4665</v>
      </c>
      <c r="AL26" s="484">
        <v>4935</v>
      </c>
      <c r="AM26" s="484">
        <v>4665</v>
      </c>
      <c r="AN26" s="485">
        <v>4935</v>
      </c>
      <c r="AO26" s="485">
        <v>4665</v>
      </c>
      <c r="AP26" s="485">
        <v>4935</v>
      </c>
      <c r="AQ26" s="486">
        <v>4842</v>
      </c>
      <c r="AR26" s="486">
        <v>5112</v>
      </c>
      <c r="AS26" s="486">
        <v>4972</v>
      </c>
      <c r="AT26" s="486">
        <v>5242</v>
      </c>
      <c r="AU26" s="486">
        <v>5126</v>
      </c>
      <c r="AV26" s="486">
        <v>5396</v>
      </c>
      <c r="AW26" s="486">
        <v>5331.04</v>
      </c>
      <c r="AX26" s="486">
        <v>5601.04</v>
      </c>
      <c r="AY26" s="487">
        <v>5614</v>
      </c>
      <c r="AZ26" s="487">
        <v>5884</v>
      </c>
      <c r="BA26" s="487">
        <v>5472</v>
      </c>
      <c r="BB26" s="487">
        <v>5742</v>
      </c>
      <c r="BC26" s="488">
        <v>6072</v>
      </c>
      <c r="BD26" s="488">
        <v>6372</v>
      </c>
      <c r="BE26" s="489">
        <v>6256</v>
      </c>
      <c r="BF26" s="490">
        <v>6556</v>
      </c>
      <c r="BG26" s="489">
        <v>6850</v>
      </c>
      <c r="BH26" s="491">
        <v>7210</v>
      </c>
      <c r="BI26" s="489">
        <v>7118</v>
      </c>
      <c r="BJ26" s="491">
        <v>7498</v>
      </c>
      <c r="BK26" s="489">
        <v>7509</v>
      </c>
      <c r="BL26" s="490">
        <v>7889</v>
      </c>
      <c r="BM26" s="489">
        <v>7847</v>
      </c>
      <c r="BN26" s="491">
        <v>8227</v>
      </c>
      <c r="BO26" s="489">
        <v>7848</v>
      </c>
      <c r="BP26" s="491">
        <v>8238</v>
      </c>
      <c r="BQ26" s="492">
        <v>8594</v>
      </c>
      <c r="BR26" s="493">
        <v>8984</v>
      </c>
      <c r="BS26" s="489">
        <v>9196</v>
      </c>
      <c r="BT26" s="490">
        <v>9586</v>
      </c>
      <c r="BU26" s="489">
        <v>9840</v>
      </c>
      <c r="BV26" s="491">
        <v>10230</v>
      </c>
      <c r="BW26" s="489">
        <f>5166*2</f>
        <v>10332</v>
      </c>
      <c r="BX26" s="491">
        <f>5361*2</f>
        <v>10722</v>
      </c>
      <c r="BY26" s="489">
        <v>10952</v>
      </c>
      <c r="BZ26" s="491">
        <v>11342</v>
      </c>
      <c r="CA26" s="489">
        <v>11280</v>
      </c>
      <c r="CB26" s="491">
        <v>11676</v>
      </c>
      <c r="CC26" s="489">
        <v>11675</v>
      </c>
      <c r="CD26" s="491">
        <v>12071</v>
      </c>
      <c r="CE26" s="489">
        <v>11966</v>
      </c>
      <c r="CF26" s="491">
        <v>12382</v>
      </c>
      <c r="CG26" s="489">
        <v>12146</v>
      </c>
      <c r="CH26" s="491">
        <v>12562</v>
      </c>
      <c r="CI26" s="494"/>
      <c r="CJ26" s="494"/>
    </row>
    <row r="27" spans="1:88" ht="8.1" customHeight="1" x14ac:dyDescent="0.2">
      <c r="A27" s="444"/>
      <c r="B27" s="457"/>
      <c r="C27" s="457"/>
      <c r="D27" s="457"/>
      <c r="E27" s="457"/>
      <c r="F27" s="457"/>
      <c r="G27" s="457"/>
      <c r="H27" s="457"/>
      <c r="I27" s="457"/>
      <c r="J27" s="457"/>
      <c r="K27" s="457"/>
      <c r="L27" s="457"/>
      <c r="M27" s="457"/>
      <c r="N27" s="457"/>
      <c r="O27" s="457"/>
      <c r="P27" s="457"/>
      <c r="Q27" s="457"/>
      <c r="R27" s="457"/>
      <c r="S27" s="457"/>
      <c r="T27" s="457"/>
      <c r="U27" s="457"/>
      <c r="V27" s="457"/>
      <c r="W27" s="457"/>
      <c r="X27" s="457"/>
      <c r="Y27" s="457"/>
      <c r="Z27" s="457"/>
      <c r="AA27" s="457"/>
      <c r="AB27" s="481"/>
      <c r="AC27" s="481"/>
      <c r="AD27" s="481"/>
      <c r="AE27" s="481"/>
      <c r="AF27" s="481"/>
      <c r="AG27" s="481"/>
      <c r="AH27" s="495"/>
      <c r="AI27" s="495"/>
      <c r="AJ27" s="496"/>
      <c r="AK27" s="484"/>
      <c r="AL27" s="484"/>
      <c r="AM27" s="484"/>
      <c r="AN27" s="485"/>
      <c r="AO27" s="485"/>
      <c r="AP27" s="485"/>
      <c r="AQ27" s="486"/>
      <c r="AR27" s="486"/>
      <c r="AS27" s="486"/>
      <c r="AT27" s="486"/>
      <c r="AU27" s="486"/>
      <c r="AV27" s="486"/>
      <c r="AW27" s="486"/>
      <c r="AX27" s="486"/>
      <c r="AY27" s="487"/>
      <c r="AZ27" s="487"/>
      <c r="BA27" s="487"/>
      <c r="BB27" s="487"/>
      <c r="BC27" s="488"/>
      <c r="BD27" s="488"/>
      <c r="BE27" s="489"/>
      <c r="BF27" s="490"/>
      <c r="BG27" s="489"/>
      <c r="BH27" s="491"/>
      <c r="BI27" s="489"/>
      <c r="BJ27" s="491"/>
      <c r="BK27" s="489"/>
      <c r="BL27" s="490"/>
      <c r="BM27" s="489"/>
      <c r="BN27" s="491"/>
      <c r="BO27" s="489"/>
      <c r="BP27" s="491"/>
      <c r="BQ27" s="492"/>
      <c r="BR27" s="493"/>
      <c r="BS27" s="489"/>
      <c r="BT27" s="490"/>
      <c r="BU27" s="489"/>
      <c r="BV27" s="491"/>
      <c r="BW27" s="489"/>
      <c r="BX27" s="491"/>
      <c r="BY27" s="489"/>
      <c r="BZ27" s="491"/>
      <c r="CA27" s="489"/>
      <c r="CB27" s="491"/>
      <c r="CC27" s="489"/>
      <c r="CD27" s="491"/>
      <c r="CE27" s="497"/>
      <c r="CF27" s="498"/>
      <c r="CG27" s="489"/>
      <c r="CH27" s="498"/>
    </row>
    <row r="28" spans="1:88" x14ac:dyDescent="0.2">
      <c r="A28" s="444" t="s">
        <v>145</v>
      </c>
      <c r="B28" s="457"/>
      <c r="C28" s="457"/>
      <c r="D28" s="457"/>
      <c r="E28" s="457"/>
      <c r="F28" s="457"/>
      <c r="G28" s="457"/>
      <c r="H28" s="457"/>
      <c r="I28" s="457"/>
      <c r="J28" s="457"/>
      <c r="K28" s="457"/>
      <c r="L28" s="457"/>
      <c r="M28" s="457"/>
      <c r="N28" s="457"/>
      <c r="O28" s="457"/>
      <c r="P28" s="457"/>
      <c r="Q28" s="457"/>
      <c r="R28" s="457"/>
      <c r="S28" s="457"/>
      <c r="T28" s="457"/>
      <c r="U28" s="457"/>
      <c r="V28" s="457"/>
      <c r="W28" s="457"/>
      <c r="X28" s="457"/>
      <c r="Y28" s="457"/>
      <c r="Z28" s="457"/>
      <c r="AA28" s="457"/>
      <c r="AB28" s="481"/>
      <c r="AC28" s="481"/>
      <c r="AD28" s="481"/>
      <c r="AE28" s="481"/>
      <c r="AF28" s="481"/>
      <c r="AG28" s="481"/>
      <c r="AH28" s="495"/>
      <c r="AI28" s="495"/>
      <c r="AJ28" s="496"/>
      <c r="AK28" s="484"/>
      <c r="AL28" s="484"/>
      <c r="AM28" s="484"/>
      <c r="AN28" s="485"/>
      <c r="AO28" s="485"/>
      <c r="AP28" s="485"/>
      <c r="AQ28" s="486"/>
      <c r="AR28" s="486"/>
      <c r="AS28" s="486"/>
      <c r="AT28" s="486"/>
      <c r="AU28" s="486"/>
      <c r="AV28" s="486"/>
      <c r="AW28" s="486"/>
      <c r="AX28" s="486"/>
      <c r="AY28" s="487"/>
      <c r="AZ28" s="487"/>
      <c r="BA28" s="487"/>
      <c r="BB28" s="487"/>
      <c r="BC28" s="488"/>
      <c r="BD28" s="488"/>
      <c r="BE28" s="489"/>
      <c r="BF28" s="490"/>
      <c r="BG28" s="489"/>
      <c r="BH28" s="491"/>
      <c r="BI28" s="489"/>
      <c r="BJ28" s="491"/>
      <c r="BK28" s="489"/>
      <c r="BL28" s="490"/>
      <c r="BM28" s="489"/>
      <c r="BN28" s="491"/>
      <c r="BO28" s="489"/>
      <c r="BP28" s="491"/>
      <c r="BQ28" s="492"/>
      <c r="BR28" s="493"/>
      <c r="BS28" s="489"/>
      <c r="BT28" s="490"/>
      <c r="BU28" s="489"/>
      <c r="BV28" s="491"/>
      <c r="BW28" s="489"/>
      <c r="BX28" s="491"/>
      <c r="BY28" s="489"/>
      <c r="BZ28" s="491"/>
      <c r="CA28" s="489"/>
      <c r="CB28" s="491"/>
      <c r="CC28" s="489"/>
      <c r="CD28" s="491"/>
      <c r="CE28" s="497"/>
      <c r="CF28" s="498"/>
      <c r="CG28" s="489"/>
      <c r="CH28" s="498"/>
    </row>
    <row r="29" spans="1:88" x14ac:dyDescent="0.2">
      <c r="A29" s="444" t="s">
        <v>705</v>
      </c>
      <c r="B29" s="457">
        <v>300</v>
      </c>
      <c r="C29" s="457">
        <v>441</v>
      </c>
      <c r="D29" s="457">
        <v>330</v>
      </c>
      <c r="E29" s="457">
        <v>486</v>
      </c>
      <c r="F29" s="457">
        <v>351</v>
      </c>
      <c r="G29" s="457">
        <v>513</v>
      </c>
      <c r="H29" s="457">
        <v>387</v>
      </c>
      <c r="I29" s="457">
        <v>552</v>
      </c>
      <c r="J29" s="457">
        <v>435</v>
      </c>
      <c r="K29" s="457">
        <v>600</v>
      </c>
      <c r="L29" s="457">
        <v>471</v>
      </c>
      <c r="M29" s="457">
        <v>666</v>
      </c>
      <c r="N29" s="457">
        <v>501</v>
      </c>
      <c r="O29" s="457">
        <v>696</v>
      </c>
      <c r="P29" s="457">
        <f>174*3</f>
        <v>522</v>
      </c>
      <c r="Q29" s="457">
        <f>239*3</f>
        <v>717</v>
      </c>
      <c r="R29" s="457">
        <v>570</v>
      </c>
      <c r="S29" s="457">
        <v>765</v>
      </c>
      <c r="T29" s="457">
        <v>632</v>
      </c>
      <c r="U29" s="457">
        <v>848</v>
      </c>
      <c r="V29" s="457">
        <v>773.85</v>
      </c>
      <c r="W29" s="457">
        <v>989.85</v>
      </c>
      <c r="X29" s="457">
        <v>820.29</v>
      </c>
      <c r="Y29" s="457">
        <v>1066.29</v>
      </c>
      <c r="Z29" s="457">
        <v>877.71</v>
      </c>
      <c r="AA29" s="457">
        <v>1123.71</v>
      </c>
      <c r="AB29" s="481">
        <v>904.05</v>
      </c>
      <c r="AC29" s="481">
        <v>1156.05</v>
      </c>
      <c r="AD29" s="481">
        <v>931.17</v>
      </c>
      <c r="AE29" s="481">
        <v>1186.17</v>
      </c>
      <c r="AF29" s="481">
        <v>961.2</v>
      </c>
      <c r="AG29" s="481">
        <v>1243.2</v>
      </c>
      <c r="AH29" s="482">
        <v>1000.08</v>
      </c>
      <c r="AI29" s="482">
        <v>1282.08</v>
      </c>
      <c r="AJ29" s="483"/>
      <c r="AK29" s="484">
        <v>1040.04</v>
      </c>
      <c r="AL29" s="484">
        <v>1331.64</v>
      </c>
      <c r="AM29" s="484">
        <v>1040.04</v>
      </c>
      <c r="AN29" s="485">
        <v>1331.64</v>
      </c>
      <c r="AO29" s="485">
        <v>1040.04</v>
      </c>
      <c r="AP29" s="485">
        <v>1331.64</v>
      </c>
      <c r="AQ29" s="486">
        <v>1080</v>
      </c>
      <c r="AR29" s="486">
        <v>1371.6</v>
      </c>
      <c r="AS29" s="486">
        <v>1110</v>
      </c>
      <c r="AT29" s="486">
        <v>1401.64</v>
      </c>
      <c r="AU29" s="486">
        <v>1143.3599999999999</v>
      </c>
      <c r="AV29" s="486">
        <v>1434.94</v>
      </c>
      <c r="AW29" s="486">
        <v>1189.0899999999999</v>
      </c>
      <c r="AX29" s="486">
        <v>1480.67</v>
      </c>
      <c r="AY29" s="487">
        <v>1252</v>
      </c>
      <c r="AZ29" s="487">
        <v>1543.6</v>
      </c>
      <c r="BA29" s="487">
        <v>1320</v>
      </c>
      <c r="BB29" s="487">
        <v>1611.6</v>
      </c>
      <c r="BC29" s="488">
        <v>1416</v>
      </c>
      <c r="BD29" s="488">
        <v>1777.6</v>
      </c>
      <c r="BE29" s="489">
        <v>1524</v>
      </c>
      <c r="BF29" s="490">
        <v>1886</v>
      </c>
      <c r="BG29" s="489">
        <v>1602</v>
      </c>
      <c r="BH29" s="491">
        <v>1984</v>
      </c>
      <c r="BI29" s="489">
        <v>2100</v>
      </c>
      <c r="BJ29" s="491">
        <v>2492</v>
      </c>
      <c r="BK29" s="489">
        <v>2292</v>
      </c>
      <c r="BL29" s="490">
        <v>2728</v>
      </c>
      <c r="BM29" s="489">
        <v>2442</v>
      </c>
      <c r="BN29" s="491">
        <v>2893</v>
      </c>
      <c r="BO29" s="489">
        <v>2640</v>
      </c>
      <c r="BP29" s="491">
        <v>3145</v>
      </c>
      <c r="BQ29" s="492">
        <v>2940</v>
      </c>
      <c r="BR29" s="493">
        <v>3489.2</v>
      </c>
      <c r="BS29" s="489">
        <v>3288</v>
      </c>
      <c r="BT29" s="490">
        <v>3888</v>
      </c>
      <c r="BU29" s="489">
        <v>3468.96</v>
      </c>
      <c r="BV29" s="491">
        <v>4088.96</v>
      </c>
      <c r="BW29" s="489">
        <v>3642</v>
      </c>
      <c r="BX29" s="491">
        <v>4285</v>
      </c>
      <c r="BY29" s="489">
        <v>3794</v>
      </c>
      <c r="BZ29" s="491">
        <v>4456</v>
      </c>
      <c r="CA29" s="489">
        <v>3908</v>
      </c>
      <c r="CB29" s="491">
        <v>4620</v>
      </c>
      <c r="CC29" s="489">
        <v>4103.5200000000004</v>
      </c>
      <c r="CD29" s="491">
        <v>4839.5200000000004</v>
      </c>
      <c r="CE29" s="489">
        <v>4308</v>
      </c>
      <c r="CF29" s="491">
        <v>5080</v>
      </c>
      <c r="CG29" s="489">
        <v>4458</v>
      </c>
      <c r="CH29" s="491">
        <v>5253</v>
      </c>
    </row>
    <row r="30" spans="1:88" x14ac:dyDescent="0.2">
      <c r="A30" s="444" t="s">
        <v>708</v>
      </c>
      <c r="B30" s="457">
        <v>750</v>
      </c>
      <c r="C30" s="457">
        <v>891</v>
      </c>
      <c r="D30" s="457">
        <v>825</v>
      </c>
      <c r="E30" s="457">
        <v>981</v>
      </c>
      <c r="F30" s="457">
        <v>999</v>
      </c>
      <c r="G30" s="457">
        <v>1161</v>
      </c>
      <c r="H30" s="457">
        <v>1104</v>
      </c>
      <c r="I30" s="457">
        <v>1269</v>
      </c>
      <c r="J30" s="457">
        <v>1305</v>
      </c>
      <c r="K30" s="457">
        <v>1470</v>
      </c>
      <c r="L30" s="457">
        <v>1509</v>
      </c>
      <c r="M30" s="457">
        <v>1704</v>
      </c>
      <c r="N30" s="457">
        <v>1602</v>
      </c>
      <c r="O30" s="457">
        <v>1797</v>
      </c>
      <c r="P30" s="457">
        <f>555*3</f>
        <v>1665</v>
      </c>
      <c r="Q30" s="457">
        <f>620*3</f>
        <v>1860</v>
      </c>
      <c r="R30" s="457">
        <v>1824</v>
      </c>
      <c r="S30" s="457">
        <v>2019</v>
      </c>
      <c r="T30" s="457">
        <v>2019.2</v>
      </c>
      <c r="U30" s="457">
        <v>2235.1999999999998</v>
      </c>
      <c r="V30" s="457">
        <v>2476.3200000000002</v>
      </c>
      <c r="W30" s="457">
        <v>2692.32</v>
      </c>
      <c r="X30" s="457">
        <v>2624.94</v>
      </c>
      <c r="Y30" s="457">
        <v>2864.94</v>
      </c>
      <c r="Z30" s="457">
        <v>2808.66</v>
      </c>
      <c r="AA30" s="457">
        <v>3054.66</v>
      </c>
      <c r="AB30" s="481">
        <v>2892.96</v>
      </c>
      <c r="AC30" s="481">
        <v>3144.96</v>
      </c>
      <c r="AD30" s="481">
        <v>2981.25</v>
      </c>
      <c r="AE30" s="481">
        <v>3236.25</v>
      </c>
      <c r="AF30" s="481">
        <v>3520.8</v>
      </c>
      <c r="AG30" s="481">
        <v>3802.8</v>
      </c>
      <c r="AH30" s="482">
        <v>3913.2</v>
      </c>
      <c r="AI30" s="482">
        <v>4195.2</v>
      </c>
      <c r="AJ30" s="483"/>
      <c r="AK30" s="484">
        <v>4488.84</v>
      </c>
      <c r="AL30" s="484">
        <v>4780.4399999999996</v>
      </c>
      <c r="AM30" s="484">
        <v>4547.5200000000004</v>
      </c>
      <c r="AN30" s="485">
        <v>4839.12</v>
      </c>
      <c r="AO30" s="485">
        <v>4547.5200000000004</v>
      </c>
      <c r="AP30" s="485">
        <v>4839.12</v>
      </c>
      <c r="AQ30" s="486">
        <v>4720.5</v>
      </c>
      <c r="AR30" s="486">
        <v>5012.1000000000004</v>
      </c>
      <c r="AS30" s="486">
        <v>4848</v>
      </c>
      <c r="AT30" s="486">
        <v>5139.6400000000003</v>
      </c>
      <c r="AU30" s="486">
        <v>4992</v>
      </c>
      <c r="AV30" s="486">
        <v>5283.58</v>
      </c>
      <c r="AW30" s="486">
        <v>5191.68</v>
      </c>
      <c r="AX30" s="486">
        <v>5483.26</v>
      </c>
      <c r="AY30" s="487">
        <v>5472</v>
      </c>
      <c r="AZ30" s="487">
        <v>5763.6</v>
      </c>
      <c r="BA30" s="487">
        <v>5746</v>
      </c>
      <c r="BB30" s="487">
        <v>6037.6</v>
      </c>
      <c r="BC30" s="488">
        <v>6192</v>
      </c>
      <c r="BD30" s="488">
        <v>6553.6</v>
      </c>
      <c r="BE30" s="489">
        <v>6672</v>
      </c>
      <c r="BF30" s="490">
        <v>7034</v>
      </c>
      <c r="BG30" s="489">
        <v>7008</v>
      </c>
      <c r="BH30" s="491">
        <v>7390</v>
      </c>
      <c r="BI30" s="489">
        <v>8664</v>
      </c>
      <c r="BJ30" s="491">
        <v>9056</v>
      </c>
      <c r="BK30" s="489">
        <v>9011</v>
      </c>
      <c r="BL30" s="490">
        <v>9447</v>
      </c>
      <c r="BM30" s="489">
        <v>9612</v>
      </c>
      <c r="BN30" s="491">
        <v>10063</v>
      </c>
      <c r="BO30" s="489">
        <v>10392</v>
      </c>
      <c r="BP30" s="491">
        <v>10897</v>
      </c>
      <c r="BQ30" s="492">
        <v>11568</v>
      </c>
      <c r="BR30" s="493">
        <v>12117.2</v>
      </c>
      <c r="BS30" s="489">
        <v>12936</v>
      </c>
      <c r="BT30" s="490">
        <v>13536</v>
      </c>
      <c r="BU30" s="489">
        <v>11100.72</v>
      </c>
      <c r="BV30" s="491">
        <v>11720.72</v>
      </c>
      <c r="BW30" s="489">
        <f>5832*2</f>
        <v>11664</v>
      </c>
      <c r="BX30" s="491">
        <f>6153.5*2</f>
        <v>12307</v>
      </c>
      <c r="BY30" s="489">
        <v>12130</v>
      </c>
      <c r="BZ30" s="491">
        <v>12792</v>
      </c>
      <c r="CA30" s="489">
        <v>12494</v>
      </c>
      <c r="CB30" s="491">
        <v>13206</v>
      </c>
      <c r="CC30" s="489">
        <v>13119</v>
      </c>
      <c r="CD30" s="491">
        <v>13855</v>
      </c>
      <c r="CE30" s="489">
        <v>13776</v>
      </c>
      <c r="CF30" s="491">
        <v>14548</v>
      </c>
      <c r="CG30" s="489">
        <v>14256</v>
      </c>
      <c r="CH30" s="491">
        <v>15051</v>
      </c>
      <c r="CI30" s="494"/>
      <c r="CJ30" s="494"/>
    </row>
    <row r="31" spans="1:88" ht="8.1" customHeight="1" x14ac:dyDescent="0.2">
      <c r="A31" s="444"/>
      <c r="B31" s="457"/>
      <c r="C31" s="457"/>
      <c r="D31" s="457"/>
      <c r="E31" s="457"/>
      <c r="F31" s="457"/>
      <c r="G31" s="457"/>
      <c r="H31" s="457"/>
      <c r="I31" s="457"/>
      <c r="J31" s="457"/>
      <c r="K31" s="457"/>
      <c r="L31" s="457"/>
      <c r="M31" s="457"/>
      <c r="N31" s="457"/>
      <c r="O31" s="457"/>
      <c r="P31" s="457"/>
      <c r="Q31" s="457"/>
      <c r="R31" s="457"/>
      <c r="S31" s="457"/>
      <c r="T31" s="457"/>
      <c r="U31" s="457"/>
      <c r="V31" s="457"/>
      <c r="W31" s="457"/>
      <c r="X31" s="457"/>
      <c r="Y31" s="457"/>
      <c r="Z31" s="457"/>
      <c r="AA31" s="457"/>
      <c r="AB31" s="481"/>
      <c r="AC31" s="481"/>
      <c r="AD31" s="481"/>
      <c r="AE31" s="481"/>
      <c r="AF31" s="481"/>
      <c r="AG31" s="481"/>
      <c r="AH31" s="495"/>
      <c r="AI31" s="495"/>
      <c r="AJ31" s="496"/>
      <c r="AK31" s="484"/>
      <c r="AL31" s="484"/>
      <c r="AM31" s="484"/>
      <c r="AN31" s="485"/>
      <c r="AO31" s="485"/>
      <c r="AP31" s="485"/>
      <c r="AQ31" s="486"/>
      <c r="AR31" s="486"/>
      <c r="AS31" s="486"/>
      <c r="AT31" s="486"/>
      <c r="AU31" s="486"/>
      <c r="AV31" s="486"/>
      <c r="AW31" s="486"/>
      <c r="AX31" s="486"/>
      <c r="AY31" s="487"/>
      <c r="AZ31" s="487"/>
      <c r="BA31" s="487"/>
      <c r="BB31" s="487"/>
      <c r="BC31" s="488"/>
      <c r="BD31" s="488"/>
      <c r="BE31" s="489"/>
      <c r="BF31" s="490"/>
      <c r="BG31" s="489"/>
      <c r="BH31" s="491"/>
      <c r="BI31" s="489"/>
      <c r="BJ31" s="491"/>
      <c r="BK31" s="489"/>
      <c r="BL31" s="490"/>
      <c r="BM31" s="489"/>
      <c r="BN31" s="491"/>
      <c r="BO31" s="489"/>
      <c r="BP31" s="491"/>
      <c r="BQ31" s="492"/>
      <c r="BR31" s="493"/>
      <c r="BS31" s="489"/>
      <c r="BT31" s="490"/>
      <c r="BU31" s="489"/>
      <c r="BV31" s="491"/>
      <c r="BW31" s="489"/>
      <c r="BX31" s="491"/>
      <c r="BY31" s="489"/>
      <c r="BZ31" s="491"/>
      <c r="CA31" s="489"/>
      <c r="CB31" s="491"/>
      <c r="CC31" s="489"/>
      <c r="CD31" s="491"/>
      <c r="CE31" s="497"/>
      <c r="CF31" s="498"/>
      <c r="CG31" s="489"/>
      <c r="CH31" s="498"/>
    </row>
    <row r="32" spans="1:88" hidden="1" x14ac:dyDescent="0.2">
      <c r="A32" s="444" t="s">
        <v>711</v>
      </c>
      <c r="B32" s="457"/>
      <c r="C32" s="457"/>
      <c r="D32" s="457"/>
      <c r="E32" s="457"/>
      <c r="F32" s="457"/>
      <c r="G32" s="457"/>
      <c r="H32" s="457"/>
      <c r="I32" s="457"/>
      <c r="J32" s="457"/>
      <c r="K32" s="457"/>
      <c r="L32" s="457"/>
      <c r="M32" s="457"/>
      <c r="N32" s="457"/>
      <c r="O32" s="457"/>
      <c r="P32" s="457"/>
      <c r="Q32" s="457"/>
      <c r="R32" s="457"/>
      <c r="S32" s="457"/>
      <c r="T32" s="457"/>
      <c r="U32" s="457"/>
      <c r="V32" s="457"/>
      <c r="W32" s="457"/>
      <c r="X32" s="457"/>
      <c r="Y32" s="457"/>
      <c r="Z32" s="457"/>
      <c r="AA32" s="457"/>
      <c r="AB32" s="481"/>
      <c r="AC32" s="481"/>
      <c r="AD32" s="481"/>
      <c r="AE32" s="481"/>
      <c r="AF32" s="481"/>
      <c r="AG32" s="481"/>
      <c r="AH32" s="495"/>
      <c r="AI32" s="495"/>
      <c r="AJ32" s="496"/>
      <c r="AK32" s="484"/>
      <c r="AL32" s="484"/>
      <c r="AM32" s="484"/>
      <c r="AN32" s="485"/>
      <c r="AO32" s="485"/>
      <c r="AP32" s="485"/>
      <c r="AQ32" s="486"/>
      <c r="AR32" s="486"/>
      <c r="AS32" s="486"/>
      <c r="AT32" s="486"/>
      <c r="AU32" s="486"/>
      <c r="AV32" s="486"/>
      <c r="AW32" s="486"/>
      <c r="AX32" s="486"/>
      <c r="AY32" s="487"/>
      <c r="AZ32" s="487"/>
      <c r="BA32" s="487"/>
      <c r="BB32" s="487"/>
      <c r="BC32" s="488"/>
      <c r="BD32" s="488"/>
      <c r="BE32" s="489"/>
      <c r="BF32" s="490"/>
      <c r="BG32" s="489"/>
      <c r="BH32" s="491"/>
      <c r="BI32" s="489"/>
      <c r="BJ32" s="491"/>
      <c r="BK32" s="489"/>
      <c r="BL32" s="490"/>
      <c r="BM32" s="489"/>
      <c r="BN32" s="491"/>
      <c r="BO32" s="489"/>
      <c r="BP32" s="491"/>
      <c r="BQ32" s="492"/>
      <c r="BR32" s="493"/>
      <c r="BS32" s="489"/>
      <c r="BT32" s="490"/>
      <c r="BU32" s="489"/>
      <c r="BV32" s="491"/>
      <c r="BW32" s="489"/>
      <c r="BX32" s="491"/>
      <c r="BY32" s="489"/>
      <c r="BZ32" s="491"/>
      <c r="CA32" s="489"/>
      <c r="CB32" s="491"/>
      <c r="CC32" s="489"/>
      <c r="CD32" s="491"/>
      <c r="CE32" s="497"/>
      <c r="CF32" s="498"/>
      <c r="CG32" s="489"/>
      <c r="CH32" s="498"/>
    </row>
    <row r="33" spans="1:88" hidden="1" x14ac:dyDescent="0.2">
      <c r="A33" s="444" t="s">
        <v>705</v>
      </c>
      <c r="B33" s="457">
        <v>300</v>
      </c>
      <c r="C33" s="457">
        <v>432</v>
      </c>
      <c r="D33" s="457">
        <v>330</v>
      </c>
      <c r="E33" s="457">
        <v>471</v>
      </c>
      <c r="F33" s="457">
        <v>351</v>
      </c>
      <c r="G33" s="457">
        <v>504</v>
      </c>
      <c r="H33" s="457">
        <v>387</v>
      </c>
      <c r="I33" s="457">
        <v>540</v>
      </c>
      <c r="J33" s="457">
        <v>435</v>
      </c>
      <c r="K33" s="457">
        <v>615</v>
      </c>
      <c r="L33" s="457">
        <v>471</v>
      </c>
      <c r="M33" s="457">
        <v>651</v>
      </c>
      <c r="N33" s="457">
        <v>501</v>
      </c>
      <c r="O33" s="457">
        <v>696</v>
      </c>
      <c r="P33" s="457">
        <f>174*3</f>
        <v>522</v>
      </c>
      <c r="Q33" s="457">
        <f>243*3</f>
        <v>729</v>
      </c>
      <c r="R33" s="457">
        <v>570</v>
      </c>
      <c r="S33" s="457">
        <v>777</v>
      </c>
      <c r="T33" s="457">
        <v>643.20000000000005</v>
      </c>
      <c r="U33" s="457">
        <v>850.2</v>
      </c>
      <c r="V33" s="457">
        <v>663</v>
      </c>
      <c r="W33" s="457">
        <v>876</v>
      </c>
      <c r="X33" s="457">
        <v>702</v>
      </c>
      <c r="Y33" s="457">
        <v>915</v>
      </c>
      <c r="Z33" s="457">
        <v>750.3</v>
      </c>
      <c r="AA33" s="457">
        <v>963.3</v>
      </c>
      <c r="AB33" s="481">
        <v>774</v>
      </c>
      <c r="AC33" s="481">
        <v>1005</v>
      </c>
      <c r="AD33" s="481">
        <v>804.75</v>
      </c>
      <c r="AE33" s="481">
        <v>1043.25</v>
      </c>
      <c r="AF33" s="481">
        <v>837</v>
      </c>
      <c r="AG33" s="481">
        <v>1084.5</v>
      </c>
      <c r="AH33" s="482">
        <v>870.6</v>
      </c>
      <c r="AI33" s="482">
        <v>1128</v>
      </c>
      <c r="AJ33" s="483"/>
      <c r="AK33" s="484">
        <v>918</v>
      </c>
      <c r="AL33" s="484">
        <v>1189.5</v>
      </c>
      <c r="AM33" s="484">
        <v>963.9</v>
      </c>
      <c r="AN33" s="485">
        <v>1248.9000000000001</v>
      </c>
      <c r="AO33" s="485">
        <v>963.9</v>
      </c>
      <c r="AP33" s="485">
        <v>1274.4000000000001</v>
      </c>
      <c r="AQ33" s="486">
        <v>1000.5</v>
      </c>
      <c r="AR33" s="486">
        <v>1311</v>
      </c>
      <c r="AS33" s="486">
        <v>1028.4000000000001</v>
      </c>
      <c r="AT33" s="486">
        <v>1346.6</v>
      </c>
      <c r="AU33" s="486">
        <v>1094</v>
      </c>
      <c r="AV33" s="486">
        <v>1422</v>
      </c>
      <c r="AW33" s="486">
        <v>1137.76</v>
      </c>
      <c r="AX33" s="486">
        <v>1466</v>
      </c>
      <c r="AY33" s="487">
        <v>1200.7</v>
      </c>
      <c r="AZ33" s="487">
        <v>1528.7</v>
      </c>
      <c r="BA33" s="487">
        <v>1296.4000000000001</v>
      </c>
      <c r="BB33" s="487">
        <v>1630.4</v>
      </c>
      <c r="BC33" s="488">
        <v>1406</v>
      </c>
      <c r="BD33" s="488">
        <v>1740</v>
      </c>
      <c r="BE33" s="489">
        <v>1505</v>
      </c>
      <c r="BF33" s="490">
        <v>1861.2</v>
      </c>
      <c r="BG33" s="489">
        <v>1611.3</v>
      </c>
      <c r="BH33" s="491">
        <v>1980.3</v>
      </c>
      <c r="BI33" s="489">
        <v>1749</v>
      </c>
      <c r="BJ33" s="491">
        <v>2090.6</v>
      </c>
      <c r="BK33" s="489">
        <v>1819</v>
      </c>
      <c r="BL33" s="490">
        <v>2161</v>
      </c>
      <c r="BM33" s="489">
        <v>1900</v>
      </c>
      <c r="BN33" s="491">
        <v>2242</v>
      </c>
      <c r="BO33" s="489">
        <v>2070</v>
      </c>
      <c r="BP33" s="491">
        <v>2470</v>
      </c>
      <c r="BQ33" s="492">
        <v>2270</v>
      </c>
      <c r="BR33" s="493">
        <v>2670</v>
      </c>
      <c r="BS33" s="489">
        <v>2472</v>
      </c>
      <c r="BT33" s="490">
        <v>2922</v>
      </c>
      <c r="BU33" s="489">
        <v>2620.3200000000002</v>
      </c>
      <c r="BV33" s="491">
        <v>3070.32</v>
      </c>
      <c r="BW33" s="489">
        <v>3326</v>
      </c>
      <c r="BX33" s="491">
        <v>3742</v>
      </c>
      <c r="BY33" s="489">
        <v>2751.36</v>
      </c>
      <c r="BZ33" s="491">
        <v>3221.36</v>
      </c>
      <c r="CA33" s="489"/>
      <c r="CB33" s="491"/>
      <c r="CC33" s="489"/>
      <c r="CD33" s="491"/>
      <c r="CE33" s="497"/>
      <c r="CF33" s="498"/>
      <c r="CG33" s="489"/>
      <c r="CH33" s="498"/>
    </row>
    <row r="34" spans="1:88" hidden="1" x14ac:dyDescent="0.2">
      <c r="A34" s="444" t="s">
        <v>708</v>
      </c>
      <c r="B34" s="457">
        <v>750</v>
      </c>
      <c r="C34" s="457">
        <v>882</v>
      </c>
      <c r="D34" s="457">
        <v>825</v>
      </c>
      <c r="E34" s="457">
        <v>966</v>
      </c>
      <c r="F34" s="457">
        <v>999</v>
      </c>
      <c r="G34" s="457">
        <v>1152</v>
      </c>
      <c r="H34" s="457">
        <v>1104</v>
      </c>
      <c r="I34" s="457">
        <v>1257</v>
      </c>
      <c r="J34" s="457">
        <v>1305</v>
      </c>
      <c r="K34" s="457">
        <v>1485</v>
      </c>
      <c r="L34" s="457">
        <v>1509</v>
      </c>
      <c r="M34" s="457">
        <v>1689</v>
      </c>
      <c r="N34" s="457">
        <v>1602</v>
      </c>
      <c r="O34" s="457">
        <v>1800</v>
      </c>
      <c r="P34" s="457">
        <f>556*3</f>
        <v>1668</v>
      </c>
      <c r="Q34" s="457">
        <f>625*3</f>
        <v>1875</v>
      </c>
      <c r="R34" s="457">
        <v>1818</v>
      </c>
      <c r="S34" s="457">
        <v>2025</v>
      </c>
      <c r="T34" s="457">
        <v>2057.6</v>
      </c>
      <c r="U34" s="457">
        <v>2264.6</v>
      </c>
      <c r="V34" s="457">
        <v>2121</v>
      </c>
      <c r="W34" s="457">
        <v>2334</v>
      </c>
      <c r="X34" s="457">
        <v>2247</v>
      </c>
      <c r="Y34" s="457">
        <v>2460</v>
      </c>
      <c r="Z34" s="457">
        <v>2403</v>
      </c>
      <c r="AA34" s="457">
        <v>2616</v>
      </c>
      <c r="AB34" s="481">
        <v>2478</v>
      </c>
      <c r="AC34" s="481">
        <v>2709</v>
      </c>
      <c r="AD34" s="481">
        <v>2577</v>
      </c>
      <c r="AE34" s="481">
        <v>2815.5</v>
      </c>
      <c r="AF34" s="481">
        <v>2835</v>
      </c>
      <c r="AG34" s="481">
        <v>3082.5</v>
      </c>
      <c r="AH34" s="482">
        <v>3260.25</v>
      </c>
      <c r="AI34" s="482">
        <v>3517.65</v>
      </c>
      <c r="AJ34" s="483"/>
      <c r="AK34" s="484">
        <v>3717</v>
      </c>
      <c r="AL34" s="484">
        <v>3988.5</v>
      </c>
      <c r="AM34" s="484">
        <v>4032.75</v>
      </c>
      <c r="AN34" s="485">
        <v>4317.75</v>
      </c>
      <c r="AO34" s="485">
        <v>4032.75</v>
      </c>
      <c r="AP34" s="485">
        <v>4343.25</v>
      </c>
      <c r="AQ34" s="486">
        <v>4188</v>
      </c>
      <c r="AR34" s="486">
        <v>4498.5</v>
      </c>
      <c r="AS34" s="486">
        <v>4305</v>
      </c>
      <c r="AT34" s="486">
        <v>4623.2</v>
      </c>
      <c r="AU34" s="486">
        <v>4576</v>
      </c>
      <c r="AV34" s="486">
        <v>4904</v>
      </c>
      <c r="AW34" s="486">
        <v>4761</v>
      </c>
      <c r="AX34" s="486">
        <v>5089</v>
      </c>
      <c r="AY34" s="487">
        <v>5025</v>
      </c>
      <c r="AZ34" s="487">
        <v>5353</v>
      </c>
      <c r="BA34" s="487">
        <v>5428</v>
      </c>
      <c r="BB34" s="487">
        <v>5762</v>
      </c>
      <c r="BC34" s="488">
        <v>5894</v>
      </c>
      <c r="BD34" s="488">
        <v>6228</v>
      </c>
      <c r="BE34" s="489">
        <v>6309</v>
      </c>
      <c r="BF34" s="490">
        <v>6665.6</v>
      </c>
      <c r="BG34" s="489">
        <v>6752</v>
      </c>
      <c r="BH34" s="491">
        <v>7121</v>
      </c>
      <c r="BI34" s="489">
        <v>7328.6</v>
      </c>
      <c r="BJ34" s="491">
        <v>7670.2000000000007</v>
      </c>
      <c r="BK34" s="489">
        <v>7622</v>
      </c>
      <c r="BL34" s="490">
        <v>7964</v>
      </c>
      <c r="BM34" s="489">
        <v>3800</v>
      </c>
      <c r="BN34" s="491">
        <v>4142</v>
      </c>
      <c r="BO34" s="489">
        <v>4140</v>
      </c>
      <c r="BP34" s="491">
        <v>4540</v>
      </c>
      <c r="BQ34" s="492">
        <v>4540</v>
      </c>
      <c r="BR34" s="493">
        <v>4940</v>
      </c>
      <c r="BS34" s="489">
        <v>4944</v>
      </c>
      <c r="BT34" s="490">
        <v>5394</v>
      </c>
      <c r="BU34" s="489">
        <v>5240.6400000000003</v>
      </c>
      <c r="BV34" s="491">
        <v>5690.64</v>
      </c>
      <c r="BW34" s="489">
        <f>2751.36*2</f>
        <v>5502.72</v>
      </c>
      <c r="BX34" s="491">
        <f>2986.36*2</f>
        <v>5972.72</v>
      </c>
      <c r="BY34" s="489">
        <v>5502.72</v>
      </c>
      <c r="BZ34" s="491">
        <v>5972.72</v>
      </c>
      <c r="CA34" s="489"/>
      <c r="CB34" s="491"/>
      <c r="CC34" s="489"/>
      <c r="CD34" s="491"/>
      <c r="CE34" s="497"/>
      <c r="CF34" s="498"/>
      <c r="CG34" s="489"/>
      <c r="CH34" s="498"/>
    </row>
    <row r="35" spans="1:88" ht="8.1" hidden="1" customHeight="1" x14ac:dyDescent="0.2">
      <c r="A35" s="444"/>
      <c r="B35" s="457"/>
      <c r="C35" s="457"/>
      <c r="D35" s="457"/>
      <c r="E35" s="457"/>
      <c r="F35" s="457"/>
      <c r="G35" s="457"/>
      <c r="H35" s="457"/>
      <c r="I35" s="457"/>
      <c r="J35" s="457"/>
      <c r="K35" s="457"/>
      <c r="L35" s="457"/>
      <c r="M35" s="457"/>
      <c r="N35" s="457"/>
      <c r="O35" s="457"/>
      <c r="P35" s="457"/>
      <c r="Q35" s="457"/>
      <c r="R35" s="457"/>
      <c r="S35" s="457"/>
      <c r="T35" s="457"/>
      <c r="U35" s="457"/>
      <c r="V35" s="457"/>
      <c r="W35" s="457"/>
      <c r="X35" s="457"/>
      <c r="Y35" s="457"/>
      <c r="Z35" s="457"/>
      <c r="AA35" s="457"/>
      <c r="AB35" s="481"/>
      <c r="AC35" s="481"/>
      <c r="AD35" s="481"/>
      <c r="AE35" s="481"/>
      <c r="AF35" s="481"/>
      <c r="AG35" s="481"/>
      <c r="AH35" s="495"/>
      <c r="AI35" s="495"/>
      <c r="AJ35" s="496"/>
      <c r="AK35" s="484"/>
      <c r="AL35" s="484"/>
      <c r="AM35" s="484"/>
      <c r="AN35" s="485"/>
      <c r="AO35" s="485"/>
      <c r="AP35" s="485"/>
      <c r="AQ35" s="486"/>
      <c r="AR35" s="486"/>
      <c r="AS35" s="486"/>
      <c r="AT35" s="486"/>
      <c r="AU35" s="486"/>
      <c r="AV35" s="486"/>
      <c r="AW35" s="486"/>
      <c r="AX35" s="486"/>
      <c r="AY35" s="487"/>
      <c r="AZ35" s="487"/>
      <c r="BA35" s="487"/>
      <c r="BB35" s="487"/>
      <c r="BC35" s="488"/>
      <c r="BD35" s="488"/>
      <c r="BE35" s="489"/>
      <c r="BF35" s="490"/>
      <c r="BG35" s="489"/>
      <c r="BH35" s="491"/>
      <c r="BI35" s="489"/>
      <c r="BJ35" s="491"/>
      <c r="BK35" s="489"/>
      <c r="BL35" s="490"/>
      <c r="BM35" s="489"/>
      <c r="BN35" s="491"/>
      <c r="BO35" s="489"/>
      <c r="BP35" s="491"/>
      <c r="BQ35" s="492"/>
      <c r="BR35" s="493"/>
      <c r="BS35" s="489"/>
      <c r="BT35" s="490"/>
      <c r="BU35" s="489"/>
      <c r="BV35" s="491"/>
      <c r="BW35" s="489"/>
      <c r="BX35" s="491"/>
      <c r="BY35" s="489"/>
      <c r="BZ35" s="491"/>
      <c r="CA35" s="489"/>
      <c r="CB35" s="491"/>
      <c r="CC35" s="489"/>
      <c r="CD35" s="491"/>
      <c r="CE35" s="497"/>
      <c r="CF35" s="498"/>
      <c r="CG35" s="489"/>
      <c r="CH35" s="498"/>
    </row>
    <row r="36" spans="1:88" x14ac:dyDescent="0.2">
      <c r="A36" s="444" t="s">
        <v>8</v>
      </c>
      <c r="B36" s="457"/>
      <c r="C36" s="457"/>
      <c r="D36" s="457"/>
      <c r="E36" s="457"/>
      <c r="F36" s="457"/>
      <c r="G36" s="457"/>
      <c r="H36" s="457"/>
      <c r="I36" s="457"/>
      <c r="J36" s="457"/>
      <c r="K36" s="457"/>
      <c r="L36" s="457"/>
      <c r="M36" s="457"/>
      <c r="N36" s="457"/>
      <c r="O36" s="457"/>
      <c r="P36" s="457"/>
      <c r="Q36" s="457"/>
      <c r="R36" s="457"/>
      <c r="S36" s="457"/>
      <c r="T36" s="457"/>
      <c r="U36" s="457"/>
      <c r="V36" s="457"/>
      <c r="W36" s="457"/>
      <c r="X36" s="457"/>
      <c r="Y36" s="457"/>
      <c r="Z36" s="457"/>
      <c r="AA36" s="457"/>
      <c r="AB36" s="481"/>
      <c r="AC36" s="481"/>
      <c r="AD36" s="481"/>
      <c r="AE36" s="481"/>
      <c r="AF36" s="481"/>
      <c r="AG36" s="481"/>
      <c r="AH36" s="495"/>
      <c r="AI36" s="495"/>
      <c r="AJ36" s="496"/>
      <c r="AK36" s="484"/>
      <c r="AL36" s="484"/>
      <c r="AM36" s="484"/>
      <c r="AN36" s="485"/>
      <c r="AO36" s="485"/>
      <c r="AP36" s="485"/>
      <c r="AQ36" s="486"/>
      <c r="AR36" s="486"/>
      <c r="AS36" s="486"/>
      <c r="AT36" s="486"/>
      <c r="AU36" s="486"/>
      <c r="AV36" s="486"/>
      <c r="AW36" s="486"/>
      <c r="AX36" s="486"/>
      <c r="AY36" s="487"/>
      <c r="AZ36" s="487"/>
      <c r="BA36" s="487"/>
      <c r="BB36" s="487"/>
      <c r="BC36" s="488"/>
      <c r="BD36" s="488"/>
      <c r="BE36" s="489"/>
      <c r="BF36" s="490"/>
      <c r="BG36" s="489"/>
      <c r="BH36" s="491"/>
      <c r="BI36" s="489"/>
      <c r="BJ36" s="491"/>
      <c r="BK36" s="489"/>
      <c r="BL36" s="490"/>
      <c r="BM36" s="489"/>
      <c r="BN36" s="491"/>
      <c r="BO36" s="489"/>
      <c r="BP36" s="491"/>
      <c r="BQ36" s="492"/>
      <c r="BR36" s="493"/>
      <c r="BS36" s="489"/>
      <c r="BT36" s="490"/>
      <c r="BU36" s="489"/>
      <c r="BV36" s="491"/>
      <c r="BW36" s="489"/>
      <c r="BX36" s="491"/>
      <c r="BY36" s="489"/>
      <c r="BZ36" s="491"/>
      <c r="CA36" s="489"/>
      <c r="CB36" s="491"/>
      <c r="CC36" s="489"/>
      <c r="CD36" s="491"/>
      <c r="CE36" s="497"/>
      <c r="CF36" s="498"/>
      <c r="CG36" s="489"/>
      <c r="CH36" s="498"/>
    </row>
    <row r="37" spans="1:88" x14ac:dyDescent="0.2">
      <c r="A37" s="444" t="s">
        <v>705</v>
      </c>
      <c r="B37" s="457">
        <v>300</v>
      </c>
      <c r="C37" s="457">
        <v>396</v>
      </c>
      <c r="D37" s="457">
        <v>330</v>
      </c>
      <c r="E37" s="457">
        <v>438</v>
      </c>
      <c r="F37" s="457">
        <v>351</v>
      </c>
      <c r="G37" s="457">
        <v>468</v>
      </c>
      <c r="H37" s="457">
        <v>387</v>
      </c>
      <c r="I37" s="457">
        <v>513</v>
      </c>
      <c r="J37" s="457">
        <v>435</v>
      </c>
      <c r="K37" s="457">
        <v>570</v>
      </c>
      <c r="L37" s="457">
        <v>471</v>
      </c>
      <c r="M37" s="457">
        <v>627</v>
      </c>
      <c r="N37" s="457">
        <v>501</v>
      </c>
      <c r="O37" s="457">
        <v>687</v>
      </c>
      <c r="P37" s="457">
        <f>182*3</f>
        <v>546</v>
      </c>
      <c r="Q37" s="457">
        <f>249*3</f>
        <v>747</v>
      </c>
      <c r="R37" s="457">
        <v>651</v>
      </c>
      <c r="S37" s="457">
        <v>855</v>
      </c>
      <c r="T37" s="457">
        <v>758.4</v>
      </c>
      <c r="U37" s="457">
        <v>983.4</v>
      </c>
      <c r="V37" s="457">
        <v>798</v>
      </c>
      <c r="W37" s="457">
        <v>1026</v>
      </c>
      <c r="X37" s="457">
        <v>861</v>
      </c>
      <c r="Y37" s="457">
        <v>1095</v>
      </c>
      <c r="Z37" s="457">
        <v>930</v>
      </c>
      <c r="AA37" s="457">
        <v>1167</v>
      </c>
      <c r="AB37" s="481">
        <v>957</v>
      </c>
      <c r="AC37" s="481">
        <v>1194</v>
      </c>
      <c r="AD37" s="481">
        <v>994</v>
      </c>
      <c r="AE37" s="481">
        <v>1239</v>
      </c>
      <c r="AF37" s="481">
        <v>1071</v>
      </c>
      <c r="AG37" s="481">
        <v>1323.51</v>
      </c>
      <c r="AH37" s="482">
        <v>1114</v>
      </c>
      <c r="AI37" s="482">
        <v>1366.5</v>
      </c>
      <c r="AJ37" s="483"/>
      <c r="AK37" s="484">
        <v>1158</v>
      </c>
      <c r="AL37" s="484">
        <v>1419.69</v>
      </c>
      <c r="AM37" s="484">
        <v>1194</v>
      </c>
      <c r="AN37" s="485">
        <v>1455.69</v>
      </c>
      <c r="AO37" s="485">
        <v>1194</v>
      </c>
      <c r="AP37" s="485">
        <v>1474</v>
      </c>
      <c r="AQ37" s="486">
        <v>1239</v>
      </c>
      <c r="AR37" s="486">
        <v>1518.99</v>
      </c>
      <c r="AS37" s="486">
        <v>1272</v>
      </c>
      <c r="AT37" s="486">
        <v>1573.84</v>
      </c>
      <c r="AU37" s="486">
        <v>1310</v>
      </c>
      <c r="AV37" s="486">
        <v>1628</v>
      </c>
      <c r="AW37" s="486">
        <v>1362.4</v>
      </c>
      <c r="AX37" s="486">
        <v>1682.4</v>
      </c>
      <c r="AY37" s="487">
        <v>1542</v>
      </c>
      <c r="AZ37" s="487">
        <v>1882</v>
      </c>
      <c r="BA37" s="487">
        <v>1842</v>
      </c>
      <c r="BB37" s="487">
        <v>2196</v>
      </c>
      <c r="BC37" s="488">
        <v>2072</v>
      </c>
      <c r="BD37" s="488">
        <v>2450</v>
      </c>
      <c r="BE37" s="489">
        <v>2372</v>
      </c>
      <c r="BF37" s="490">
        <v>2788</v>
      </c>
      <c r="BG37" s="489">
        <v>2580</v>
      </c>
      <c r="BH37" s="491">
        <v>3022</v>
      </c>
      <c r="BI37" s="489">
        <v>2812</v>
      </c>
      <c r="BJ37" s="491">
        <v>3308</v>
      </c>
      <c r="BK37" s="489">
        <v>3000</v>
      </c>
      <c r="BL37" s="490">
        <v>3528</v>
      </c>
      <c r="BM37" s="489">
        <v>3188</v>
      </c>
      <c r="BN37" s="491">
        <v>3752</v>
      </c>
      <c r="BO37" s="489">
        <v>3464</v>
      </c>
      <c r="BP37" s="491">
        <v>4048</v>
      </c>
      <c r="BQ37" s="492">
        <v>3672</v>
      </c>
      <c r="BR37" s="493">
        <v>4288</v>
      </c>
      <c r="BS37" s="489">
        <v>3944</v>
      </c>
      <c r="BT37" s="490">
        <v>4584</v>
      </c>
      <c r="BU37" s="489">
        <v>4122</v>
      </c>
      <c r="BV37" s="491">
        <v>4786</v>
      </c>
      <c r="BW37" s="489">
        <v>4368</v>
      </c>
      <c r="BX37" s="491">
        <v>5086</v>
      </c>
      <c r="BY37" s="489">
        <v>4542</v>
      </c>
      <c r="BZ37" s="491">
        <v>5270</v>
      </c>
      <c r="CA37" s="489">
        <v>4678</v>
      </c>
      <c r="CB37" s="491">
        <v>5386</v>
      </c>
      <c r="CC37" s="489">
        <v>4840</v>
      </c>
      <c r="CD37" s="491">
        <v>5530</v>
      </c>
      <c r="CE37" s="489">
        <v>4962</v>
      </c>
      <c r="CF37" s="491">
        <v>5652</v>
      </c>
      <c r="CG37" s="489">
        <v>5036</v>
      </c>
      <c r="CH37" s="491">
        <v>5726</v>
      </c>
    </row>
    <row r="38" spans="1:88" x14ac:dyDescent="0.2">
      <c r="A38" s="444" t="s">
        <v>708</v>
      </c>
      <c r="B38" s="457">
        <v>900</v>
      </c>
      <c r="C38" s="457">
        <v>996</v>
      </c>
      <c r="D38" s="457">
        <v>975</v>
      </c>
      <c r="E38" s="457">
        <v>1083</v>
      </c>
      <c r="F38" s="457">
        <v>1053</v>
      </c>
      <c r="G38" s="457">
        <v>1170</v>
      </c>
      <c r="H38" s="457">
        <v>1161</v>
      </c>
      <c r="I38" s="457">
        <v>1287</v>
      </c>
      <c r="J38" s="457">
        <v>1305</v>
      </c>
      <c r="K38" s="457">
        <v>1440</v>
      </c>
      <c r="L38" s="457">
        <v>1509</v>
      </c>
      <c r="M38" s="457">
        <v>1665</v>
      </c>
      <c r="N38" s="457">
        <v>1602</v>
      </c>
      <c r="O38" s="457">
        <v>1788</v>
      </c>
      <c r="P38" s="457">
        <f>583*3</f>
        <v>1749</v>
      </c>
      <c r="Q38" s="457">
        <f>650*3</f>
        <v>1950</v>
      </c>
      <c r="R38" s="457">
        <v>2082</v>
      </c>
      <c r="S38" s="457">
        <v>2286</v>
      </c>
      <c r="T38" s="457">
        <v>2419.1999999999998</v>
      </c>
      <c r="U38" s="457">
        <v>2644.2</v>
      </c>
      <c r="V38" s="457">
        <v>2553</v>
      </c>
      <c r="W38" s="457">
        <v>2781</v>
      </c>
      <c r="X38" s="457">
        <v>2757</v>
      </c>
      <c r="Y38" s="457">
        <v>2991</v>
      </c>
      <c r="Z38" s="457">
        <v>2976</v>
      </c>
      <c r="AA38" s="457">
        <v>3213</v>
      </c>
      <c r="AB38" s="481">
        <v>3063</v>
      </c>
      <c r="AC38" s="481">
        <v>3300</v>
      </c>
      <c r="AD38" s="481">
        <v>3181</v>
      </c>
      <c r="AE38" s="481">
        <v>3426</v>
      </c>
      <c r="AF38" s="481">
        <v>3458.5</v>
      </c>
      <c r="AG38" s="481">
        <v>3711</v>
      </c>
      <c r="AH38" s="482">
        <v>3756.5</v>
      </c>
      <c r="AI38" s="482">
        <v>4009</v>
      </c>
      <c r="AJ38" s="483"/>
      <c r="AK38" s="484">
        <v>4160.01</v>
      </c>
      <c r="AL38" s="484">
        <v>4421.7</v>
      </c>
      <c r="AM38" s="484">
        <v>4328.49</v>
      </c>
      <c r="AN38" s="485">
        <v>4590.18</v>
      </c>
      <c r="AO38" s="485">
        <v>4328.5</v>
      </c>
      <c r="AP38" s="485">
        <v>4608.5</v>
      </c>
      <c r="AQ38" s="486">
        <v>4493.01</v>
      </c>
      <c r="AR38" s="486">
        <v>4773</v>
      </c>
      <c r="AS38" s="486">
        <v>4614</v>
      </c>
      <c r="AT38" s="486">
        <v>4915.84</v>
      </c>
      <c r="AU38" s="486">
        <v>4752</v>
      </c>
      <c r="AV38" s="486">
        <v>5070</v>
      </c>
      <c r="AW38" s="486">
        <v>4942.08</v>
      </c>
      <c r="AX38" s="486">
        <v>5262.08</v>
      </c>
      <c r="AY38" s="487">
        <v>5582</v>
      </c>
      <c r="AZ38" s="487">
        <v>5922</v>
      </c>
      <c r="BA38" s="487">
        <v>6448</v>
      </c>
      <c r="BB38" s="487">
        <v>6802</v>
      </c>
      <c r="BC38" s="488">
        <v>7252</v>
      </c>
      <c r="BD38" s="488">
        <v>7630</v>
      </c>
      <c r="BE38" s="489">
        <v>8302</v>
      </c>
      <c r="BF38" s="490">
        <v>8718</v>
      </c>
      <c r="BG38" s="489">
        <v>9030</v>
      </c>
      <c r="BH38" s="491">
        <v>9472</v>
      </c>
      <c r="BI38" s="489">
        <v>9842</v>
      </c>
      <c r="BJ38" s="491">
        <v>10338</v>
      </c>
      <c r="BK38" s="489">
        <v>10501</v>
      </c>
      <c r="BL38" s="490">
        <v>11029</v>
      </c>
      <c r="BM38" s="489">
        <v>10950</v>
      </c>
      <c r="BN38" s="491">
        <v>11514</v>
      </c>
      <c r="BO38" s="489">
        <v>11304</v>
      </c>
      <c r="BP38" s="491">
        <v>11888</v>
      </c>
      <c r="BQ38" s="492">
        <v>11630</v>
      </c>
      <c r="BR38" s="493">
        <v>12246</v>
      </c>
      <c r="BS38" s="489">
        <v>12300</v>
      </c>
      <c r="BT38" s="490">
        <v>12940</v>
      </c>
      <c r="BU38" s="489">
        <v>12854</v>
      </c>
      <c r="BV38" s="491">
        <v>13518</v>
      </c>
      <c r="BW38" s="489">
        <f>6769*2</f>
        <v>13538</v>
      </c>
      <c r="BX38" s="491">
        <f>7128*2</f>
        <v>14256</v>
      </c>
      <c r="BY38" s="489">
        <v>14074</v>
      </c>
      <c r="BZ38" s="491">
        <v>14802</v>
      </c>
      <c r="CA38" s="489">
        <v>14494</v>
      </c>
      <c r="CB38" s="491">
        <v>15202</v>
      </c>
      <c r="CC38" s="489">
        <v>15000</v>
      </c>
      <c r="CD38" s="491">
        <v>15690</v>
      </c>
      <c r="CE38" s="489">
        <v>15376</v>
      </c>
      <c r="CF38" s="491">
        <v>16066</v>
      </c>
      <c r="CG38" s="489">
        <v>15606</v>
      </c>
      <c r="CH38" s="491">
        <v>16296</v>
      </c>
      <c r="CJ38" s="494"/>
    </row>
    <row r="39" spans="1:88" ht="8.1" customHeight="1" x14ac:dyDescent="0.2">
      <c r="A39" s="444" t="s">
        <v>712</v>
      </c>
      <c r="B39" s="457"/>
      <c r="C39" s="457"/>
      <c r="D39" s="457"/>
      <c r="E39" s="457"/>
      <c r="F39" s="457"/>
      <c r="G39" s="457"/>
      <c r="H39" s="457"/>
      <c r="I39" s="457"/>
      <c r="J39" s="457"/>
      <c r="K39" s="457"/>
      <c r="L39" s="457"/>
      <c r="M39" s="457"/>
      <c r="N39" s="457"/>
      <c r="O39" s="457"/>
      <c r="P39" s="457"/>
      <c r="Q39" s="457"/>
      <c r="R39" s="457"/>
      <c r="S39" s="457"/>
      <c r="T39" s="457"/>
      <c r="U39" s="457"/>
      <c r="V39" s="457"/>
      <c r="W39" s="457"/>
      <c r="X39" s="457"/>
      <c r="Y39" s="457"/>
      <c r="Z39" s="457"/>
      <c r="AA39" s="457"/>
      <c r="AB39" s="481"/>
      <c r="AC39" s="481"/>
      <c r="AD39" s="481"/>
      <c r="AE39" s="481"/>
      <c r="AF39" s="481"/>
      <c r="AG39" s="481"/>
      <c r="AH39" s="495"/>
      <c r="AI39" s="495"/>
      <c r="AJ39" s="496"/>
      <c r="AK39" s="484"/>
      <c r="AL39" s="484"/>
      <c r="AM39" s="484"/>
      <c r="AN39" s="485" t="s">
        <v>119</v>
      </c>
      <c r="AO39" s="485"/>
      <c r="AP39" s="485"/>
      <c r="AQ39" s="486"/>
      <c r="AR39" s="486"/>
      <c r="AS39" s="486"/>
      <c r="AT39" s="486"/>
      <c r="AU39" s="486"/>
      <c r="AV39" s="486"/>
      <c r="AW39" s="486"/>
      <c r="AX39" s="486"/>
      <c r="AY39" s="487"/>
      <c r="AZ39" s="487"/>
      <c r="BA39" s="487"/>
      <c r="BB39" s="487"/>
      <c r="BC39" s="488"/>
      <c r="BD39" s="488"/>
      <c r="BE39" s="489"/>
      <c r="BF39" s="490"/>
      <c r="BG39" s="489"/>
      <c r="BH39" s="491"/>
      <c r="BI39" s="489"/>
      <c r="BJ39" s="491"/>
      <c r="BK39" s="489"/>
      <c r="BL39" s="490"/>
      <c r="BM39" s="489"/>
      <c r="BN39" s="491"/>
      <c r="BO39" s="489"/>
      <c r="BP39" s="491"/>
      <c r="BQ39" s="492"/>
      <c r="BR39" s="493"/>
      <c r="BS39" s="489"/>
      <c r="BT39" s="490"/>
      <c r="BU39" s="489"/>
      <c r="BV39" s="491"/>
      <c r="BW39" s="489"/>
      <c r="BX39" s="491"/>
      <c r="BY39" s="489"/>
      <c r="BZ39" s="491"/>
      <c r="CA39" s="489"/>
      <c r="CB39" s="491"/>
      <c r="CC39" s="489"/>
      <c r="CD39" s="491"/>
      <c r="CE39" s="497"/>
      <c r="CF39" s="498"/>
      <c r="CG39" s="489"/>
      <c r="CH39" s="498"/>
    </row>
    <row r="40" spans="1:88" x14ac:dyDescent="0.2">
      <c r="A40" s="444" t="s">
        <v>9</v>
      </c>
      <c r="B40" s="457"/>
      <c r="C40" s="457"/>
      <c r="D40" s="457"/>
      <c r="E40" s="457"/>
      <c r="F40" s="457"/>
      <c r="G40" s="457"/>
      <c r="H40" s="457"/>
      <c r="I40" s="457"/>
      <c r="J40" s="457"/>
      <c r="K40" s="457"/>
      <c r="L40" s="457"/>
      <c r="M40" s="457"/>
      <c r="N40" s="457"/>
      <c r="O40" s="457"/>
      <c r="P40" s="457"/>
      <c r="Q40" s="457"/>
      <c r="R40" s="457"/>
      <c r="S40" s="457"/>
      <c r="T40" s="457"/>
      <c r="U40" s="457"/>
      <c r="V40" s="457"/>
      <c r="W40" s="457"/>
      <c r="X40" s="457"/>
      <c r="Y40" s="457"/>
      <c r="Z40" s="457"/>
      <c r="AA40" s="457"/>
      <c r="AB40" s="481"/>
      <c r="AC40" s="481"/>
      <c r="AD40" s="481"/>
      <c r="AE40" s="481"/>
      <c r="AF40" s="481"/>
      <c r="AG40" s="481"/>
      <c r="AH40" s="495"/>
      <c r="AI40" s="495"/>
      <c r="AJ40" s="496"/>
      <c r="AK40" s="484"/>
      <c r="AL40" s="484"/>
      <c r="AM40" s="484"/>
      <c r="AN40" s="485"/>
      <c r="AO40" s="485"/>
      <c r="AP40" s="485"/>
      <c r="AQ40" s="486"/>
      <c r="AR40" s="486"/>
      <c r="AS40" s="486"/>
      <c r="AT40" s="486"/>
      <c r="AU40" s="486"/>
      <c r="AV40" s="486"/>
      <c r="AW40" s="486"/>
      <c r="AX40" s="486"/>
      <c r="AY40" s="487"/>
      <c r="AZ40" s="487"/>
      <c r="BA40" s="487"/>
      <c r="BB40" s="487"/>
      <c r="BC40" s="488"/>
      <c r="BD40" s="488"/>
      <c r="BE40" s="489"/>
      <c r="BF40" s="490"/>
      <c r="BG40" s="489"/>
      <c r="BH40" s="491"/>
      <c r="BI40" s="489"/>
      <c r="BJ40" s="491"/>
      <c r="BK40" s="489"/>
      <c r="BL40" s="490"/>
      <c r="BM40" s="489"/>
      <c r="BN40" s="491"/>
      <c r="BO40" s="489"/>
      <c r="BP40" s="491"/>
      <c r="BQ40" s="492"/>
      <c r="BR40" s="493"/>
      <c r="BS40" s="489"/>
      <c r="BT40" s="490"/>
      <c r="BU40" s="489"/>
      <c r="BV40" s="491"/>
      <c r="BW40" s="489"/>
      <c r="BX40" s="491"/>
      <c r="BY40" s="489"/>
      <c r="BZ40" s="491"/>
      <c r="CA40" s="489"/>
      <c r="CB40" s="491"/>
      <c r="CC40" s="489"/>
      <c r="CD40" s="491"/>
      <c r="CE40" s="497"/>
      <c r="CF40" s="498"/>
      <c r="CG40" s="489"/>
      <c r="CH40" s="498"/>
    </row>
    <row r="41" spans="1:88" x14ac:dyDescent="0.2">
      <c r="A41" s="444" t="s">
        <v>705</v>
      </c>
      <c r="B41" s="457">
        <v>300</v>
      </c>
      <c r="C41" s="457">
        <v>384</v>
      </c>
      <c r="D41" s="457">
        <v>330</v>
      </c>
      <c r="E41" s="457">
        <v>414</v>
      </c>
      <c r="F41" s="457">
        <v>351</v>
      </c>
      <c r="G41" s="457">
        <v>435</v>
      </c>
      <c r="H41" s="457">
        <v>387</v>
      </c>
      <c r="I41" s="457">
        <v>471</v>
      </c>
      <c r="J41" s="457">
        <v>435</v>
      </c>
      <c r="K41" s="457">
        <v>534</v>
      </c>
      <c r="L41" s="457">
        <v>501</v>
      </c>
      <c r="M41" s="457">
        <v>606</v>
      </c>
      <c r="N41" s="457">
        <v>576</v>
      </c>
      <c r="O41" s="457">
        <v>708</v>
      </c>
      <c r="P41" s="457">
        <v>654</v>
      </c>
      <c r="Q41" s="457">
        <v>786</v>
      </c>
      <c r="R41" s="457">
        <v>738</v>
      </c>
      <c r="S41" s="457">
        <v>900</v>
      </c>
      <c r="T41" s="457">
        <v>828.8</v>
      </c>
      <c r="U41" s="457">
        <v>1026.8</v>
      </c>
      <c r="V41" s="457">
        <v>870</v>
      </c>
      <c r="W41" s="457">
        <v>1077</v>
      </c>
      <c r="X41" s="457">
        <v>909</v>
      </c>
      <c r="Y41" s="457">
        <v>1128</v>
      </c>
      <c r="Z41" s="457">
        <v>963</v>
      </c>
      <c r="AA41" s="457">
        <v>1197</v>
      </c>
      <c r="AB41" s="481">
        <v>999</v>
      </c>
      <c r="AC41" s="481">
        <v>1239</v>
      </c>
      <c r="AD41" s="481">
        <v>1035</v>
      </c>
      <c r="AE41" s="481">
        <v>1281</v>
      </c>
      <c r="AF41" s="481">
        <v>1071</v>
      </c>
      <c r="AG41" s="481">
        <v>1317</v>
      </c>
      <c r="AH41" s="482">
        <v>1113</v>
      </c>
      <c r="AI41" s="482">
        <v>1359</v>
      </c>
      <c r="AJ41" s="483"/>
      <c r="AK41" s="484">
        <v>1158</v>
      </c>
      <c r="AL41" s="484">
        <v>1410</v>
      </c>
      <c r="AM41" s="484">
        <v>1194</v>
      </c>
      <c r="AN41" s="485">
        <v>1446</v>
      </c>
      <c r="AO41" s="485">
        <v>1194</v>
      </c>
      <c r="AP41" s="485">
        <v>1449</v>
      </c>
      <c r="AQ41" s="486">
        <v>1239</v>
      </c>
      <c r="AR41" s="486">
        <v>1503</v>
      </c>
      <c r="AS41" s="486">
        <v>1272</v>
      </c>
      <c r="AT41" s="486">
        <v>1542</v>
      </c>
      <c r="AU41" s="486">
        <v>1310</v>
      </c>
      <c r="AV41" s="486">
        <v>1582</v>
      </c>
      <c r="AW41" s="486">
        <v>1362.4</v>
      </c>
      <c r="AX41" s="486">
        <v>1636.4</v>
      </c>
      <c r="AY41" s="487">
        <v>1436</v>
      </c>
      <c r="AZ41" s="487">
        <v>1762</v>
      </c>
      <c r="BA41" s="487">
        <v>1564</v>
      </c>
      <c r="BB41" s="487">
        <v>1890</v>
      </c>
      <c r="BC41" s="488">
        <v>1697</v>
      </c>
      <c r="BD41" s="488">
        <v>2035</v>
      </c>
      <c r="BE41" s="489">
        <v>1832</v>
      </c>
      <c r="BF41" s="490">
        <v>2174</v>
      </c>
      <c r="BG41" s="489">
        <v>1968</v>
      </c>
      <c r="BH41" s="491">
        <v>2312</v>
      </c>
      <c r="BI41" s="489">
        <v>2046</v>
      </c>
      <c r="BJ41" s="491">
        <v>2404</v>
      </c>
      <c r="BK41" s="489">
        <v>2168</v>
      </c>
      <c r="BL41" s="490">
        <v>2536</v>
      </c>
      <c r="BM41" s="489">
        <v>2286</v>
      </c>
      <c r="BN41" s="491">
        <v>2660</v>
      </c>
      <c r="BO41" s="489">
        <v>2376</v>
      </c>
      <c r="BP41" s="491">
        <v>2790</v>
      </c>
      <c r="BQ41" s="492">
        <v>2520</v>
      </c>
      <c r="BR41" s="493">
        <v>2932</v>
      </c>
      <c r="BS41" s="489">
        <v>2640</v>
      </c>
      <c r="BT41" s="490">
        <v>3052</v>
      </c>
      <c r="BU41" s="489">
        <v>2759</v>
      </c>
      <c r="BV41" s="491">
        <v>3170</v>
      </c>
      <c r="BW41" s="489">
        <v>2924</v>
      </c>
      <c r="BX41" s="491">
        <v>3342</v>
      </c>
      <c r="BY41" s="489">
        <v>3039.5</v>
      </c>
      <c r="BZ41" s="491">
        <v>3468</v>
      </c>
      <c r="CA41" s="489">
        <v>3129.5</v>
      </c>
      <c r="CB41" s="491">
        <v>3568</v>
      </c>
      <c r="CC41" s="489">
        <v>3238.5</v>
      </c>
      <c r="CD41" s="491">
        <v>3689</v>
      </c>
      <c r="CE41" s="489">
        <v>3319</v>
      </c>
      <c r="CF41" s="491">
        <v>3780.5</v>
      </c>
      <c r="CG41" s="489">
        <v>3369</v>
      </c>
      <c r="CH41" s="491">
        <v>3843</v>
      </c>
    </row>
    <row r="42" spans="1:88" x14ac:dyDescent="0.2">
      <c r="A42" s="436" t="s">
        <v>708</v>
      </c>
      <c r="B42" s="457">
        <v>900</v>
      </c>
      <c r="C42" s="457">
        <v>984</v>
      </c>
      <c r="D42" s="457">
        <v>975</v>
      </c>
      <c r="E42" s="457">
        <v>1059</v>
      </c>
      <c r="F42" s="457">
        <v>1053</v>
      </c>
      <c r="G42" s="457">
        <v>1137</v>
      </c>
      <c r="H42" s="457">
        <v>1161</v>
      </c>
      <c r="I42" s="457">
        <v>1245</v>
      </c>
      <c r="J42" s="457">
        <v>1305</v>
      </c>
      <c r="K42" s="457">
        <v>1404</v>
      </c>
      <c r="L42" s="457">
        <v>1539</v>
      </c>
      <c r="M42" s="457">
        <v>1644</v>
      </c>
      <c r="N42" s="457">
        <v>1842</v>
      </c>
      <c r="O42" s="457">
        <v>1974</v>
      </c>
      <c r="P42" s="457">
        <v>2094</v>
      </c>
      <c r="Q42" s="457">
        <v>2226</v>
      </c>
      <c r="R42" s="457">
        <v>2361</v>
      </c>
      <c r="S42" s="457">
        <v>2523</v>
      </c>
      <c r="T42" s="457">
        <v>2630.4</v>
      </c>
      <c r="U42" s="457">
        <v>2828.4</v>
      </c>
      <c r="V42" s="457">
        <v>2790</v>
      </c>
      <c r="W42" s="457">
        <v>2997</v>
      </c>
      <c r="X42" s="457">
        <v>2910</v>
      </c>
      <c r="Y42" s="457">
        <v>3129</v>
      </c>
      <c r="Z42" s="457">
        <v>3081</v>
      </c>
      <c r="AA42" s="457">
        <v>3315</v>
      </c>
      <c r="AB42" s="481">
        <v>3198</v>
      </c>
      <c r="AC42" s="481">
        <v>3438</v>
      </c>
      <c r="AD42" s="481">
        <v>3312</v>
      </c>
      <c r="AE42" s="481">
        <v>3558</v>
      </c>
      <c r="AF42" s="481">
        <v>3534</v>
      </c>
      <c r="AG42" s="481">
        <v>3780</v>
      </c>
      <c r="AH42" s="482">
        <v>3792</v>
      </c>
      <c r="AI42" s="482">
        <v>4038</v>
      </c>
      <c r="AJ42" s="483"/>
      <c r="AK42" s="484">
        <v>4050</v>
      </c>
      <c r="AL42" s="484">
        <v>4302</v>
      </c>
      <c r="AM42" s="484">
        <v>4254</v>
      </c>
      <c r="AN42" s="485">
        <v>4506</v>
      </c>
      <c r="AO42" s="485">
        <v>4254</v>
      </c>
      <c r="AP42" s="485">
        <v>4509</v>
      </c>
      <c r="AQ42" s="486">
        <v>4416</v>
      </c>
      <c r="AR42" s="486">
        <v>4680</v>
      </c>
      <c r="AS42" s="486">
        <v>4534</v>
      </c>
      <c r="AT42" s="486">
        <v>4804</v>
      </c>
      <c r="AU42" s="486">
        <v>4670</v>
      </c>
      <c r="AV42" s="486">
        <v>4942</v>
      </c>
      <c r="AW42" s="486">
        <v>4856.8</v>
      </c>
      <c r="AX42" s="486">
        <v>5130.8</v>
      </c>
      <c r="AY42" s="487">
        <v>5124</v>
      </c>
      <c r="AZ42" s="487">
        <v>5450</v>
      </c>
      <c r="BA42" s="487">
        <v>5474</v>
      </c>
      <c r="BB42" s="487">
        <v>5800</v>
      </c>
      <c r="BC42" s="488">
        <v>5939</v>
      </c>
      <c r="BD42" s="488">
        <v>6277</v>
      </c>
      <c r="BE42" s="499">
        <v>6412</v>
      </c>
      <c r="BF42" s="500">
        <v>6754</v>
      </c>
      <c r="BG42" s="499">
        <v>6888</v>
      </c>
      <c r="BH42" s="501">
        <v>7232</v>
      </c>
      <c r="BI42" s="499">
        <v>7161</v>
      </c>
      <c r="BJ42" s="501">
        <v>7519</v>
      </c>
      <c r="BK42" s="499">
        <v>7588</v>
      </c>
      <c r="BL42" s="500">
        <v>7958</v>
      </c>
      <c r="BM42" s="499">
        <v>8000</v>
      </c>
      <c r="BN42" s="501">
        <v>8374</v>
      </c>
      <c r="BO42" s="499">
        <v>8316</v>
      </c>
      <c r="BP42" s="501">
        <v>8730</v>
      </c>
      <c r="BQ42" s="502">
        <v>8760</v>
      </c>
      <c r="BR42" s="503">
        <v>9172</v>
      </c>
      <c r="BS42" s="499">
        <v>9192</v>
      </c>
      <c r="BT42" s="500">
        <v>9604</v>
      </c>
      <c r="BU42" s="499">
        <v>9601</v>
      </c>
      <c r="BV42" s="501">
        <v>10012</v>
      </c>
      <c r="BW42" s="499">
        <f>5088*2</f>
        <v>10176</v>
      </c>
      <c r="BX42" s="501">
        <f>5297*2</f>
        <v>10594</v>
      </c>
      <c r="BY42" s="499">
        <v>10581.5</v>
      </c>
      <c r="BZ42" s="501">
        <v>11010</v>
      </c>
      <c r="CA42" s="499">
        <v>10581.5</v>
      </c>
      <c r="CB42" s="501">
        <v>11020</v>
      </c>
      <c r="CC42" s="499">
        <v>11277</v>
      </c>
      <c r="CD42" s="501">
        <v>11728</v>
      </c>
      <c r="CE42" s="499">
        <v>11558</v>
      </c>
      <c r="CF42" s="501">
        <v>12019.5</v>
      </c>
      <c r="CG42" s="499">
        <v>11732</v>
      </c>
      <c r="CH42" s="501">
        <v>12206</v>
      </c>
      <c r="CJ42" s="494"/>
    </row>
    <row r="43" spans="1:88" ht="8.1" customHeight="1" x14ac:dyDescent="0.2">
      <c r="AH43" s="504"/>
      <c r="AI43" s="504"/>
      <c r="AJ43" s="504"/>
      <c r="AK43" s="505"/>
      <c r="AL43" s="505"/>
      <c r="AM43" s="506"/>
      <c r="AN43" s="506"/>
      <c r="AO43" s="506"/>
      <c r="AP43" s="506"/>
      <c r="AQ43" s="506"/>
      <c r="AR43" s="506"/>
      <c r="AS43" s="506"/>
      <c r="AT43" s="506"/>
      <c r="AU43" s="506"/>
      <c r="AV43" s="506"/>
      <c r="AW43" s="506"/>
      <c r="AX43" s="506"/>
      <c r="AY43" s="507"/>
      <c r="AZ43" s="507"/>
      <c r="BA43" s="507"/>
      <c r="BB43" s="508"/>
      <c r="BC43" s="508"/>
      <c r="BE43" s="508"/>
      <c r="BG43" s="508"/>
      <c r="BI43" s="508"/>
      <c r="BK43" s="508"/>
      <c r="BM43" s="508"/>
      <c r="BS43" s="508"/>
      <c r="BU43" s="508"/>
      <c r="BW43" s="508"/>
      <c r="BY43" s="508"/>
      <c r="CA43" s="508"/>
    </row>
    <row r="44" spans="1:88" x14ac:dyDescent="0.2">
      <c r="A44" s="425" t="s">
        <v>681</v>
      </c>
      <c r="B44" s="509"/>
      <c r="C44" s="509"/>
      <c r="D44" s="509"/>
      <c r="E44" s="509"/>
      <c r="F44" s="509"/>
      <c r="G44" s="509"/>
      <c r="H44" s="509"/>
      <c r="I44" s="509"/>
      <c r="J44" s="509"/>
      <c r="K44" s="509"/>
      <c r="L44" s="509"/>
      <c r="M44" s="509"/>
      <c r="N44" s="509"/>
      <c r="O44" s="509"/>
      <c r="P44" s="509"/>
      <c r="Q44" s="509"/>
      <c r="R44" s="509"/>
      <c r="S44" s="509"/>
      <c r="T44" s="509"/>
      <c r="U44" s="509"/>
      <c r="V44" s="510"/>
      <c r="W44" s="510"/>
      <c r="X44" s="510"/>
      <c r="Y44" s="510"/>
      <c r="Z44" s="510"/>
      <c r="AA44" s="510"/>
      <c r="AB44" s="509"/>
      <c r="AC44" s="509"/>
      <c r="AD44" s="509"/>
      <c r="AE44" s="509"/>
      <c r="AF44" s="509"/>
      <c r="AG44" s="509"/>
      <c r="AH44" s="511"/>
      <c r="AI44" s="511"/>
      <c r="AJ44" s="511"/>
      <c r="AK44" s="511"/>
      <c r="AL44" s="511"/>
      <c r="AM44" s="506"/>
      <c r="AN44" s="506"/>
      <c r="AO44" s="506"/>
      <c r="AP44" s="506"/>
      <c r="AQ44" s="506"/>
      <c r="AR44" s="506"/>
      <c r="AS44" s="506"/>
      <c r="AT44" s="506"/>
      <c r="AU44" s="506"/>
      <c r="AV44" s="506"/>
      <c r="AW44" s="506"/>
      <c r="AX44" s="506"/>
      <c r="AY44" s="507"/>
      <c r="AZ44" s="507"/>
      <c r="BA44" s="507"/>
      <c r="BB44" s="508"/>
      <c r="BC44" s="508"/>
      <c r="BE44" s="508"/>
      <c r="BG44" s="508"/>
      <c r="BI44" s="508"/>
      <c r="BK44" s="508"/>
      <c r="BM44" s="508"/>
      <c r="BS44" s="508"/>
      <c r="BU44" s="508"/>
      <c r="BW44" s="508"/>
      <c r="BY44" s="508"/>
      <c r="CA44" s="508"/>
    </row>
    <row r="45" spans="1:88" x14ac:dyDescent="0.2">
      <c r="A45" s="425" t="s">
        <v>713</v>
      </c>
      <c r="B45" s="425"/>
      <c r="C45" s="425"/>
      <c r="D45" s="425"/>
      <c r="E45" s="425"/>
      <c r="F45" s="425"/>
      <c r="G45" s="425"/>
      <c r="H45" s="425"/>
      <c r="I45" s="425"/>
      <c r="J45" s="425"/>
      <c r="K45" s="425"/>
      <c r="L45" s="425"/>
      <c r="M45" s="425"/>
      <c r="N45" s="425"/>
      <c r="O45" s="425"/>
      <c r="P45" s="425"/>
      <c r="Q45" s="425"/>
      <c r="R45" s="425"/>
      <c r="S45" s="425"/>
      <c r="T45" s="425" t="s">
        <v>714</v>
      </c>
      <c r="U45" s="425"/>
      <c r="V45" s="426"/>
      <c r="W45" s="426"/>
      <c r="X45" s="426"/>
      <c r="Y45" s="426"/>
      <c r="Z45" s="426"/>
      <c r="AA45" s="426"/>
      <c r="AB45" s="425"/>
      <c r="AC45" s="425"/>
      <c r="AD45" s="425"/>
      <c r="AE45" s="425"/>
      <c r="AF45" s="425"/>
      <c r="AG45" s="425"/>
      <c r="AH45" s="505"/>
      <c r="AI45" s="505"/>
      <c r="AJ45" s="505"/>
      <c r="AK45" s="505"/>
      <c r="AL45" s="505"/>
      <c r="AM45" s="506"/>
      <c r="AN45" s="506"/>
      <c r="AO45" s="506"/>
      <c r="AP45" s="506"/>
      <c r="AQ45" s="506"/>
      <c r="AR45" s="506"/>
      <c r="AS45" s="506"/>
      <c r="AT45" s="506"/>
      <c r="AU45" s="506"/>
      <c r="AV45" s="506"/>
      <c r="AW45" s="506"/>
      <c r="AX45" s="506"/>
      <c r="AY45" s="507"/>
      <c r="AZ45" s="507"/>
      <c r="BA45" s="507"/>
      <c r="BB45" s="508"/>
      <c r="BC45" s="508"/>
      <c r="BE45" s="508"/>
      <c r="BG45" s="508"/>
      <c r="BI45" s="508"/>
      <c r="BK45" s="508"/>
      <c r="BM45" s="508"/>
      <c r="BS45" s="508"/>
      <c r="BU45" s="508"/>
      <c r="BW45" s="508"/>
      <c r="BY45" s="508"/>
      <c r="CA45" s="508"/>
    </row>
    <row r="46" spans="1:88" ht="15" x14ac:dyDescent="0.2">
      <c r="A46" s="401" t="s">
        <v>683</v>
      </c>
      <c r="B46" s="512"/>
      <c r="C46" s="512"/>
      <c r="G46" s="512"/>
      <c r="AH46" s="504"/>
      <c r="AI46" s="504"/>
      <c r="AJ46" s="504"/>
      <c r="AK46" s="504"/>
      <c r="AL46" s="504"/>
      <c r="AM46" s="506"/>
      <c r="AN46" s="506"/>
      <c r="AO46" s="506"/>
      <c r="AP46" s="506"/>
      <c r="AQ46" s="506"/>
      <c r="AR46" s="506"/>
      <c r="AS46" s="506"/>
      <c r="AT46" s="506"/>
      <c r="AU46" s="506"/>
      <c r="AV46" s="506"/>
      <c r="AW46" s="506"/>
      <c r="AX46" s="506"/>
      <c r="AY46" s="507"/>
      <c r="AZ46" s="507"/>
      <c r="BA46" s="507"/>
      <c r="BB46" s="508"/>
      <c r="BC46" s="508"/>
      <c r="BD46" s="512"/>
      <c r="BE46" s="508"/>
      <c r="BF46" s="512"/>
      <c r="BG46" s="508"/>
      <c r="BH46" s="512"/>
      <c r="BI46" s="508"/>
      <c r="BJ46" s="512"/>
      <c r="BK46" s="508"/>
      <c r="BL46" s="512"/>
      <c r="BM46" s="508"/>
      <c r="BN46" s="512"/>
      <c r="BO46" s="512"/>
      <c r="BP46" s="512"/>
      <c r="BQ46" s="512"/>
      <c r="BR46" s="512"/>
      <c r="BS46" s="508"/>
      <c r="BT46" s="512"/>
      <c r="BU46" s="508"/>
      <c r="BV46" s="512"/>
      <c r="BW46" s="508"/>
      <c r="BX46" s="512"/>
      <c r="BY46" s="508"/>
      <c r="BZ46" s="512"/>
      <c r="CA46" s="508"/>
      <c r="CB46" s="512"/>
      <c r="CC46" s="512"/>
      <c r="CD46" s="512"/>
      <c r="CE46" s="512"/>
      <c r="CF46" s="512"/>
      <c r="CG46" s="512"/>
      <c r="CH46" s="512"/>
    </row>
    <row r="47" spans="1:88" x14ac:dyDescent="0.2">
      <c r="B47" s="512"/>
      <c r="C47" s="512"/>
      <c r="AH47" s="504"/>
      <c r="AI47" s="504"/>
      <c r="AJ47" s="504"/>
      <c r="AK47" s="504"/>
      <c r="AL47" s="504"/>
      <c r="AM47" s="506"/>
      <c r="AN47" s="506"/>
      <c r="AO47" s="506"/>
      <c r="AP47" s="506"/>
      <c r="AQ47" s="506"/>
      <c r="AR47" s="506"/>
      <c r="AS47" s="506"/>
      <c r="AT47" s="506"/>
      <c r="AU47" s="506"/>
      <c r="AV47" s="506"/>
      <c r="AW47" s="506"/>
      <c r="AX47" s="506"/>
      <c r="AY47" s="507"/>
      <c r="AZ47" s="507"/>
      <c r="BA47" s="507"/>
      <c r="BB47" s="508"/>
      <c r="BC47" s="508"/>
      <c r="BD47" s="512"/>
      <c r="BE47" s="508"/>
      <c r="BF47" s="512"/>
      <c r="BG47" s="508"/>
      <c r="BH47" s="512"/>
      <c r="BI47" s="508"/>
      <c r="BJ47" s="512"/>
      <c r="BK47" s="508"/>
      <c r="BL47" s="512"/>
      <c r="BM47" s="508"/>
      <c r="BN47" s="512"/>
      <c r="BO47" s="512"/>
      <c r="BP47" s="512"/>
      <c r="BQ47" s="512"/>
      <c r="BR47" s="512"/>
      <c r="BS47" s="508"/>
      <c r="BT47" s="512"/>
      <c r="BU47" s="508"/>
      <c r="BV47" s="512"/>
      <c r="BW47" s="508"/>
      <c r="BX47" s="512"/>
      <c r="BY47" s="508"/>
      <c r="BZ47" s="512"/>
      <c r="CA47" s="508"/>
      <c r="CB47" s="512"/>
      <c r="CC47" s="512"/>
      <c r="CD47" s="512"/>
      <c r="CE47" s="512"/>
      <c r="CF47" s="512"/>
      <c r="CG47" s="512"/>
      <c r="CH47" s="512"/>
    </row>
    <row r="48" spans="1:88" x14ac:dyDescent="0.2">
      <c r="B48" s="512"/>
      <c r="C48" s="512"/>
      <c r="AM48" s="513"/>
      <c r="AN48" s="513"/>
      <c r="AO48" s="513"/>
      <c r="AP48" s="513"/>
      <c r="AQ48" s="513"/>
      <c r="AR48" s="513"/>
      <c r="AS48" s="513"/>
      <c r="AT48" s="513"/>
      <c r="AU48" s="513"/>
      <c r="AV48" s="513"/>
      <c r="AW48" s="513"/>
      <c r="AX48" s="513"/>
      <c r="AY48" s="514"/>
      <c r="AZ48" s="514"/>
      <c r="BA48" s="514"/>
      <c r="BD48" s="512"/>
      <c r="BF48" s="512"/>
      <c r="BH48" s="512"/>
      <c r="BJ48" s="512"/>
      <c r="BL48" s="512"/>
      <c r="BN48" s="512"/>
      <c r="BO48" s="512"/>
      <c r="BP48" s="512"/>
      <c r="BQ48" s="512"/>
      <c r="BR48" s="512"/>
      <c r="BT48" s="512"/>
      <c r="BV48" s="512"/>
      <c r="BX48" s="512"/>
      <c r="BZ48" s="512"/>
      <c r="CA48" s="1061"/>
      <c r="CB48" s="1061"/>
      <c r="CC48" s="1061"/>
      <c r="CD48" s="1061"/>
      <c r="CE48" s="1061"/>
      <c r="CF48" s="1061"/>
      <c r="CG48" s="1061"/>
      <c r="CH48" s="1061"/>
      <c r="CI48" s="1061"/>
    </row>
    <row r="49" spans="2:87" ht="13.5" x14ac:dyDescent="0.2">
      <c r="B49" s="512"/>
      <c r="C49" s="512"/>
      <c r="AM49" s="513"/>
      <c r="AN49" s="513"/>
      <c r="AO49" s="513"/>
      <c r="AP49" s="513"/>
      <c r="AQ49" s="513"/>
      <c r="AR49" s="513"/>
      <c r="AS49" s="513"/>
      <c r="AT49" s="513"/>
      <c r="AU49" s="513"/>
      <c r="AV49" s="513"/>
      <c r="AW49" s="513"/>
      <c r="AX49" s="513"/>
      <c r="AY49" s="514"/>
      <c r="AZ49" s="514"/>
      <c r="BA49" s="514"/>
      <c r="BD49" s="512"/>
      <c r="BF49" s="512"/>
      <c r="BH49" s="512"/>
      <c r="BJ49" s="512"/>
      <c r="BL49" s="512"/>
      <c r="BN49" s="512"/>
      <c r="BO49" s="512"/>
      <c r="BP49" s="512"/>
      <c r="BQ49" s="512"/>
      <c r="BR49" s="512"/>
      <c r="BT49" s="512"/>
      <c r="BV49" s="512"/>
      <c r="BX49" s="512"/>
      <c r="BZ49" s="512"/>
      <c r="CA49" s="515"/>
      <c r="CB49" s="515"/>
      <c r="CC49" s="516"/>
      <c r="CD49" s="516"/>
      <c r="CE49" s="516"/>
      <c r="CF49" s="516"/>
      <c r="CG49" s="516"/>
      <c r="CH49" s="516"/>
      <c r="CI49" s="516"/>
    </row>
    <row r="50" spans="2:87" ht="13.5" x14ac:dyDescent="0.2">
      <c r="B50" s="512"/>
      <c r="C50" s="512"/>
      <c r="AM50" s="513"/>
      <c r="AN50" s="513"/>
      <c r="AO50" s="513"/>
      <c r="AP50" s="513"/>
      <c r="AQ50" s="513"/>
      <c r="AR50" s="513"/>
      <c r="AS50" s="513"/>
      <c r="AT50" s="513"/>
      <c r="AU50" s="513"/>
      <c r="AV50" s="513"/>
      <c r="AW50" s="513"/>
      <c r="AX50" s="513"/>
      <c r="AY50" s="514"/>
      <c r="AZ50" s="514"/>
      <c r="BA50" s="514"/>
      <c r="BD50" s="512"/>
      <c r="BF50" s="512"/>
      <c r="BH50" s="512"/>
      <c r="BJ50" s="512"/>
      <c r="BL50" s="512"/>
      <c r="BN50" s="512"/>
      <c r="BO50" s="512"/>
      <c r="BP50" s="512"/>
      <c r="BQ50" s="512"/>
      <c r="BR50" s="512"/>
      <c r="BT50" s="512"/>
      <c r="BV50" s="512"/>
      <c r="BX50" s="512"/>
      <c r="BZ50" s="512"/>
      <c r="CA50" s="516"/>
      <c r="CB50" s="516"/>
      <c r="CC50" s="516"/>
      <c r="CD50" s="516"/>
      <c r="CE50" s="516"/>
      <c r="CF50" s="516"/>
      <c r="CG50" s="516"/>
      <c r="CH50" s="516"/>
      <c r="CI50" s="516"/>
    </row>
    <row r="51" spans="2:87" x14ac:dyDescent="0.2">
      <c r="B51" s="512"/>
      <c r="C51" s="512"/>
      <c r="AM51" s="513"/>
      <c r="AN51" s="513"/>
      <c r="AO51" s="513"/>
      <c r="AP51" s="513"/>
      <c r="AQ51" s="513"/>
      <c r="AR51" s="513"/>
      <c r="AS51" s="513"/>
      <c r="AT51" s="513"/>
      <c r="AU51" s="513"/>
      <c r="AV51" s="513"/>
      <c r="AW51" s="513"/>
      <c r="AX51" s="513"/>
      <c r="AY51" s="514"/>
      <c r="AZ51" s="514"/>
      <c r="BA51" s="514"/>
      <c r="BD51" s="512"/>
      <c r="BF51" s="512"/>
      <c r="BH51" s="512"/>
      <c r="BJ51" s="512"/>
      <c r="BL51" s="512"/>
      <c r="BN51" s="512"/>
      <c r="BO51" s="512"/>
      <c r="BP51" s="512"/>
      <c r="BQ51" s="512"/>
      <c r="BR51" s="512"/>
      <c r="BT51" s="512"/>
      <c r="BV51" s="512"/>
      <c r="BX51" s="512"/>
      <c r="BZ51" s="512"/>
      <c r="CA51" s="517"/>
      <c r="CB51" s="518"/>
      <c r="CC51" s="518"/>
      <c r="CD51" s="519"/>
      <c r="CE51" s="519"/>
      <c r="CF51" s="519"/>
      <c r="CG51" s="518"/>
      <c r="CH51" s="519"/>
      <c r="CI51" s="519"/>
    </row>
    <row r="52" spans="2:87" x14ac:dyDescent="0.2">
      <c r="B52" s="512"/>
      <c r="C52" s="512"/>
      <c r="AM52" s="513"/>
      <c r="AN52" s="513"/>
      <c r="AO52" s="513"/>
      <c r="AP52" s="513"/>
      <c r="AQ52" s="513"/>
      <c r="AR52" s="513"/>
      <c r="AS52" s="513"/>
      <c r="AT52" s="513"/>
      <c r="AU52" s="513"/>
      <c r="AV52" s="513"/>
      <c r="AW52" s="513"/>
      <c r="AX52" s="513"/>
      <c r="AY52" s="514"/>
      <c r="AZ52" s="514"/>
      <c r="BA52" s="514"/>
      <c r="CA52" s="517"/>
      <c r="CB52" s="518"/>
      <c r="CC52" s="518"/>
      <c r="CD52" s="519"/>
      <c r="CE52" s="519"/>
      <c r="CF52" s="519"/>
      <c r="CG52" s="518"/>
      <c r="CH52" s="519"/>
      <c r="CI52" s="519"/>
    </row>
    <row r="53" spans="2:87" x14ac:dyDescent="0.2">
      <c r="B53" s="512"/>
      <c r="C53" s="512"/>
      <c r="AM53" s="513"/>
      <c r="AN53" s="513"/>
      <c r="AO53" s="513"/>
      <c r="AP53" s="513"/>
      <c r="AQ53" s="513"/>
      <c r="AR53" s="513"/>
      <c r="AS53" s="513"/>
      <c r="AT53" s="513"/>
      <c r="AU53" s="513"/>
      <c r="AV53" s="513"/>
      <c r="AW53" s="513"/>
      <c r="AX53" s="513"/>
      <c r="AY53" s="514"/>
      <c r="AZ53" s="514"/>
      <c r="BA53" s="514"/>
      <c r="CA53" s="517"/>
      <c r="CB53" s="518"/>
      <c r="CC53" s="518"/>
      <c r="CD53" s="519"/>
      <c r="CE53" s="519"/>
      <c r="CF53" s="519"/>
      <c r="CG53" s="518"/>
      <c r="CH53" s="519"/>
      <c r="CI53" s="519"/>
    </row>
    <row r="54" spans="2:87" x14ac:dyDescent="0.2">
      <c r="B54" s="512"/>
      <c r="C54" s="512"/>
      <c r="AM54" s="513"/>
      <c r="AN54" s="513"/>
      <c r="AO54" s="513"/>
      <c r="AP54" s="513"/>
      <c r="AQ54" s="513"/>
      <c r="AR54" s="513"/>
      <c r="AS54" s="513"/>
      <c r="AT54" s="513"/>
      <c r="AU54" s="513"/>
      <c r="AV54" s="513"/>
      <c r="AW54" s="513"/>
      <c r="AX54" s="513"/>
      <c r="AY54" s="513"/>
      <c r="AZ54" s="513"/>
      <c r="BA54" s="513"/>
      <c r="CA54" s="517"/>
      <c r="CB54" s="518"/>
      <c r="CC54" s="518"/>
      <c r="CD54" s="519"/>
      <c r="CE54" s="519"/>
      <c r="CF54" s="519"/>
      <c r="CG54" s="518"/>
      <c r="CH54" s="519"/>
      <c r="CI54" s="519"/>
    </row>
    <row r="55" spans="2:87" x14ac:dyDescent="0.2">
      <c r="B55" s="512"/>
      <c r="C55" s="512"/>
      <c r="AM55" s="513"/>
      <c r="AN55" s="513"/>
      <c r="AO55" s="513"/>
      <c r="AP55" s="513"/>
      <c r="AQ55" s="513"/>
      <c r="AR55" s="513"/>
      <c r="AS55" s="513"/>
      <c r="AT55" s="513"/>
      <c r="AU55" s="513"/>
      <c r="AV55" s="513"/>
      <c r="AW55" s="513"/>
      <c r="AX55" s="513"/>
      <c r="AY55" s="513"/>
      <c r="AZ55" s="513"/>
      <c r="BA55" s="513"/>
      <c r="CA55" s="517"/>
      <c r="CB55" s="518"/>
      <c r="CC55" s="518"/>
      <c r="CD55" s="519"/>
      <c r="CE55" s="519"/>
      <c r="CF55" s="519"/>
      <c r="CG55" s="518"/>
      <c r="CH55" s="519"/>
      <c r="CI55" s="519"/>
    </row>
    <row r="56" spans="2:87" x14ac:dyDescent="0.2">
      <c r="C56" s="512"/>
      <c r="AM56" s="513"/>
      <c r="AN56" s="513"/>
      <c r="AO56" s="513"/>
      <c r="AP56" s="513"/>
      <c r="AQ56" s="513"/>
      <c r="AR56" s="513"/>
      <c r="AS56" s="513"/>
      <c r="AT56" s="513"/>
      <c r="AU56" s="513"/>
      <c r="AV56" s="513"/>
      <c r="AW56" s="513"/>
      <c r="AX56" s="513"/>
      <c r="AY56" s="513"/>
      <c r="AZ56" s="513"/>
      <c r="BA56" s="513"/>
      <c r="CA56" s="517"/>
      <c r="CB56" s="518"/>
      <c r="CC56" s="518"/>
      <c r="CD56" s="519"/>
      <c r="CE56" s="519"/>
      <c r="CF56" s="519"/>
      <c r="CG56" s="518"/>
      <c r="CH56" s="519"/>
      <c r="CI56" s="519"/>
    </row>
    <row r="57" spans="2:87" x14ac:dyDescent="0.2">
      <c r="C57" s="512"/>
      <c r="AM57" s="513"/>
      <c r="AN57" s="513"/>
      <c r="AO57" s="513"/>
      <c r="AP57" s="513"/>
      <c r="AQ57" s="513"/>
      <c r="AR57" s="513"/>
      <c r="AS57" s="513"/>
      <c r="AT57" s="513"/>
      <c r="AU57" s="513"/>
      <c r="AV57" s="513"/>
      <c r="AW57" s="513"/>
      <c r="AX57" s="513"/>
      <c r="AY57" s="513"/>
      <c r="AZ57" s="513"/>
      <c r="BA57" s="513"/>
      <c r="CA57" s="517"/>
      <c r="CB57" s="520"/>
      <c r="CC57" s="518"/>
      <c r="CD57" s="519"/>
      <c r="CE57" s="519"/>
      <c r="CF57" s="519"/>
      <c r="CG57" s="518"/>
      <c r="CH57" s="519"/>
      <c r="CI57" s="519"/>
    </row>
    <row r="58" spans="2:87" x14ac:dyDescent="0.2">
      <c r="AM58" s="513"/>
      <c r="AN58" s="513"/>
      <c r="AO58" s="513"/>
      <c r="AP58" s="513"/>
      <c r="AQ58" s="513"/>
      <c r="AR58" s="513"/>
      <c r="AS58" s="513"/>
      <c r="AT58" s="513"/>
      <c r="AU58" s="513"/>
      <c r="AV58" s="513"/>
      <c r="AW58" s="513"/>
      <c r="AX58" s="513"/>
      <c r="AY58" s="513"/>
      <c r="AZ58" s="513"/>
      <c r="BA58" s="513"/>
      <c r="CA58" s="517"/>
      <c r="CB58" s="518"/>
      <c r="CC58" s="518"/>
      <c r="CD58" s="519"/>
      <c r="CE58" s="519"/>
      <c r="CF58" s="519"/>
      <c r="CG58" s="518"/>
      <c r="CH58" s="519"/>
      <c r="CI58" s="519"/>
    </row>
    <row r="59" spans="2:87" x14ac:dyDescent="0.2">
      <c r="AM59" s="513"/>
      <c r="AN59" s="513"/>
      <c r="AO59" s="513"/>
      <c r="AP59" s="513"/>
      <c r="AQ59" s="513"/>
      <c r="AR59" s="513"/>
      <c r="AS59" s="513"/>
      <c r="AT59" s="513"/>
      <c r="AU59" s="513"/>
      <c r="AV59" s="513"/>
      <c r="AW59" s="513"/>
      <c r="AX59" s="513"/>
      <c r="AY59" s="513"/>
      <c r="AZ59" s="513"/>
      <c r="BA59" s="513"/>
      <c r="CA59" s="1062"/>
      <c r="CB59" s="1062"/>
      <c r="CC59" s="1062"/>
      <c r="CD59" s="519"/>
      <c r="CE59" s="519"/>
      <c r="CF59" s="519"/>
      <c r="CG59" s="519"/>
      <c r="CH59" s="519"/>
      <c r="CI59" s="519"/>
    </row>
    <row r="60" spans="2:87" ht="21" customHeight="1" x14ac:dyDescent="0.2">
      <c r="AM60" s="513"/>
      <c r="AN60" s="513"/>
      <c r="AO60" s="513"/>
      <c r="AP60" s="513"/>
      <c r="AQ60" s="513"/>
      <c r="AR60" s="513"/>
      <c r="AS60" s="513"/>
      <c r="AT60" s="513"/>
      <c r="AU60" s="513"/>
      <c r="AV60" s="513"/>
      <c r="AW60" s="513"/>
      <c r="AX60" s="513"/>
      <c r="AY60" s="513"/>
      <c r="AZ60" s="513"/>
      <c r="BA60" s="513"/>
      <c r="CA60" s="1063"/>
      <c r="CB60" s="1063"/>
      <c r="CC60" s="1063"/>
      <c r="CD60" s="1063"/>
      <c r="CE60" s="1063"/>
      <c r="CF60" s="1063"/>
      <c r="CG60" s="1063"/>
      <c r="CH60" s="1063"/>
      <c r="CI60" s="1063"/>
    </row>
    <row r="61" spans="2:87" x14ac:dyDescent="0.2">
      <c r="AM61" s="513"/>
      <c r="AN61" s="513"/>
      <c r="AO61" s="513"/>
      <c r="AP61" s="513"/>
      <c r="AQ61" s="513"/>
      <c r="AR61" s="513"/>
      <c r="AS61" s="513"/>
      <c r="AT61" s="513"/>
      <c r="AU61" s="513"/>
      <c r="AV61" s="513"/>
      <c r="AW61" s="513"/>
      <c r="AX61" s="513"/>
      <c r="AY61" s="513"/>
      <c r="AZ61" s="513"/>
      <c r="BA61" s="513"/>
    </row>
    <row r="62" spans="2:87" x14ac:dyDescent="0.2">
      <c r="AM62" s="513"/>
      <c r="AN62" s="513"/>
      <c r="AO62" s="513"/>
      <c r="AP62" s="513"/>
      <c r="AQ62" s="513"/>
      <c r="AR62" s="513"/>
      <c r="AS62" s="513"/>
      <c r="AT62" s="513"/>
      <c r="AU62" s="513"/>
      <c r="AV62" s="513"/>
      <c r="AW62" s="513"/>
      <c r="AX62" s="513"/>
      <c r="AY62" s="513"/>
      <c r="AZ62" s="513"/>
      <c r="BA62" s="513"/>
    </row>
    <row r="63" spans="2:87" x14ac:dyDescent="0.2">
      <c r="AM63" s="513"/>
      <c r="AN63" s="513"/>
      <c r="AO63" s="513"/>
      <c r="AP63" s="513"/>
      <c r="AQ63" s="513"/>
      <c r="AR63" s="513"/>
      <c r="AS63" s="513"/>
      <c r="AT63" s="513"/>
      <c r="AU63" s="513"/>
      <c r="AV63" s="513"/>
      <c r="AW63" s="513"/>
      <c r="AX63" s="513"/>
      <c r="AY63" s="513"/>
      <c r="AZ63" s="513"/>
      <c r="BA63" s="513"/>
    </row>
    <row r="64" spans="2:87" x14ac:dyDescent="0.2">
      <c r="AM64" s="513"/>
      <c r="AN64" s="513"/>
      <c r="AO64" s="513"/>
      <c r="AP64" s="513"/>
      <c r="AQ64" s="513"/>
      <c r="AR64" s="513"/>
      <c r="AS64" s="513"/>
      <c r="AT64" s="513"/>
      <c r="AU64" s="513"/>
      <c r="AV64" s="513"/>
      <c r="AW64" s="513"/>
      <c r="AX64" s="513"/>
      <c r="AY64" s="513"/>
      <c r="AZ64" s="513"/>
      <c r="BA64" s="513"/>
    </row>
    <row r="65" spans="39:53" x14ac:dyDescent="0.2">
      <c r="AM65" s="513"/>
      <c r="AN65" s="513"/>
      <c r="AO65" s="513"/>
      <c r="AP65" s="513"/>
      <c r="AQ65" s="513"/>
      <c r="AR65" s="513"/>
      <c r="AS65" s="513"/>
      <c r="AT65" s="513"/>
      <c r="AU65" s="513"/>
      <c r="AV65" s="513"/>
      <c r="AW65" s="513"/>
      <c r="AX65" s="513"/>
      <c r="AY65" s="513"/>
      <c r="AZ65" s="513"/>
      <c r="BA65" s="513"/>
    </row>
    <row r="66" spans="39:53" x14ac:dyDescent="0.2">
      <c r="AM66" s="513"/>
      <c r="AN66" s="513"/>
      <c r="AO66" s="513"/>
      <c r="AP66" s="513"/>
      <c r="AQ66" s="513"/>
      <c r="AR66" s="513"/>
      <c r="AS66" s="513"/>
      <c r="AT66" s="513"/>
      <c r="AU66" s="513"/>
      <c r="AV66" s="513"/>
      <c r="AW66" s="513"/>
      <c r="AX66" s="513"/>
      <c r="AY66" s="513"/>
      <c r="AZ66" s="513"/>
      <c r="BA66" s="513"/>
    </row>
    <row r="67" spans="39:53" x14ac:dyDescent="0.2">
      <c r="AM67" s="513"/>
      <c r="AN67" s="513"/>
      <c r="AO67" s="513"/>
      <c r="AP67" s="513"/>
      <c r="AQ67" s="513"/>
      <c r="AR67" s="513"/>
      <c r="AS67" s="513"/>
      <c r="AT67" s="513"/>
      <c r="AU67" s="513"/>
      <c r="AV67" s="513"/>
      <c r="AW67" s="513"/>
      <c r="AX67" s="513"/>
      <c r="AY67" s="513"/>
      <c r="AZ67" s="513"/>
      <c r="BA67" s="513"/>
    </row>
    <row r="68" spans="39:53" x14ac:dyDescent="0.2">
      <c r="AM68" s="513"/>
      <c r="AN68" s="513"/>
      <c r="AO68" s="513"/>
      <c r="AP68" s="513"/>
      <c r="AQ68" s="513"/>
      <c r="AR68" s="513"/>
      <c r="AS68" s="513"/>
      <c r="AT68" s="513"/>
      <c r="AU68" s="513"/>
      <c r="AV68" s="513"/>
      <c r="AW68" s="513"/>
      <c r="AX68" s="513"/>
      <c r="AY68" s="513"/>
      <c r="AZ68" s="513"/>
      <c r="BA68" s="513"/>
    </row>
    <row r="69" spans="39:53" x14ac:dyDescent="0.2">
      <c r="AM69" s="513"/>
      <c r="AN69" s="513"/>
      <c r="AO69" s="513"/>
      <c r="AP69" s="513"/>
      <c r="AQ69" s="513"/>
      <c r="AR69" s="513"/>
      <c r="AS69" s="513"/>
      <c r="AT69" s="513"/>
      <c r="AU69" s="513"/>
      <c r="AV69" s="513"/>
      <c r="AW69" s="513"/>
      <c r="AX69" s="513"/>
      <c r="AY69" s="513"/>
      <c r="AZ69" s="513"/>
      <c r="BA69" s="513"/>
    </row>
    <row r="70" spans="39:53" x14ac:dyDescent="0.2">
      <c r="AM70" s="513"/>
      <c r="AN70" s="513"/>
      <c r="AO70" s="513"/>
      <c r="AP70" s="513"/>
      <c r="AQ70" s="513"/>
      <c r="AR70" s="513"/>
      <c r="AS70" s="513"/>
      <c r="AT70" s="513"/>
      <c r="AU70" s="513"/>
      <c r="AV70" s="513"/>
      <c r="AW70" s="513"/>
      <c r="AX70" s="513"/>
      <c r="AY70" s="513"/>
      <c r="AZ70" s="513"/>
      <c r="BA70" s="513"/>
    </row>
    <row r="71" spans="39:53" x14ac:dyDescent="0.2">
      <c r="AM71" s="513"/>
      <c r="AN71" s="513"/>
      <c r="AO71" s="513"/>
      <c r="AP71" s="513"/>
      <c r="AQ71" s="513"/>
      <c r="AR71" s="513"/>
      <c r="AS71" s="513"/>
      <c r="AT71" s="513"/>
      <c r="AU71" s="513"/>
      <c r="AV71" s="513"/>
      <c r="AW71" s="513"/>
      <c r="AX71" s="513"/>
      <c r="AY71" s="513"/>
      <c r="AZ71" s="513"/>
      <c r="BA71" s="513"/>
    </row>
    <row r="72" spans="39:53" x14ac:dyDescent="0.2">
      <c r="AM72" s="513"/>
      <c r="AN72" s="513"/>
      <c r="AO72" s="513"/>
      <c r="AP72" s="513"/>
      <c r="AQ72" s="513"/>
      <c r="AR72" s="513"/>
      <c r="AS72" s="513"/>
      <c r="AT72" s="513"/>
      <c r="AU72" s="513"/>
      <c r="AV72" s="513"/>
      <c r="AW72" s="513"/>
      <c r="AX72" s="513"/>
      <c r="AY72" s="513"/>
      <c r="AZ72" s="513"/>
      <c r="BA72" s="513"/>
    </row>
    <row r="73" spans="39:53" x14ac:dyDescent="0.2">
      <c r="AM73" s="513"/>
      <c r="AN73" s="513"/>
      <c r="AO73" s="513"/>
      <c r="AP73" s="513"/>
      <c r="AQ73" s="513"/>
      <c r="AR73" s="513"/>
      <c r="AS73" s="513"/>
      <c r="AT73" s="513"/>
      <c r="AU73" s="513"/>
      <c r="AV73" s="513"/>
      <c r="AW73" s="513"/>
      <c r="AX73" s="513"/>
      <c r="AY73" s="513"/>
      <c r="AZ73" s="513"/>
      <c r="BA73" s="513"/>
    </row>
    <row r="74" spans="39:53" x14ac:dyDescent="0.2">
      <c r="AM74" s="513"/>
      <c r="AN74" s="513"/>
      <c r="AO74" s="513"/>
      <c r="AP74" s="513"/>
      <c r="AQ74" s="513"/>
      <c r="AR74" s="513"/>
      <c r="AS74" s="513"/>
      <c r="AT74" s="513"/>
      <c r="AU74" s="513"/>
      <c r="AV74" s="513"/>
      <c r="AW74" s="513"/>
      <c r="AX74" s="513"/>
      <c r="AY74" s="513"/>
      <c r="AZ74" s="513"/>
      <c r="BA74" s="513"/>
    </row>
    <row r="75" spans="39:53" x14ac:dyDescent="0.2">
      <c r="AM75" s="513"/>
      <c r="AN75" s="513"/>
      <c r="AO75" s="513"/>
      <c r="AP75" s="513"/>
      <c r="AQ75" s="513"/>
      <c r="AR75" s="513"/>
      <c r="AS75" s="513"/>
      <c r="AT75" s="513"/>
      <c r="AU75" s="513"/>
      <c r="AV75" s="513"/>
      <c r="AW75" s="513"/>
      <c r="AX75" s="513"/>
      <c r="AY75" s="513"/>
      <c r="AZ75" s="513"/>
      <c r="BA75" s="513"/>
    </row>
    <row r="76" spans="39:53" x14ac:dyDescent="0.2">
      <c r="AM76" s="513"/>
      <c r="AN76" s="513"/>
      <c r="AO76" s="513"/>
      <c r="AP76" s="513"/>
      <c r="AQ76" s="513"/>
      <c r="AR76" s="513"/>
      <c r="AS76" s="513"/>
      <c r="AT76" s="513"/>
      <c r="AU76" s="513"/>
      <c r="AV76" s="513"/>
      <c r="AW76" s="513"/>
      <c r="AX76" s="513"/>
      <c r="AY76" s="513"/>
      <c r="AZ76" s="513"/>
      <c r="BA76" s="513"/>
    </row>
    <row r="77" spans="39:53" x14ac:dyDescent="0.2">
      <c r="AM77" s="513"/>
      <c r="AN77" s="513"/>
      <c r="AO77" s="513"/>
      <c r="AP77" s="513"/>
      <c r="AQ77" s="513"/>
      <c r="AR77" s="513"/>
      <c r="AS77" s="513"/>
      <c r="AT77" s="513"/>
      <c r="AU77" s="513"/>
      <c r="AV77" s="513"/>
      <c r="AW77" s="513"/>
      <c r="AX77" s="513"/>
      <c r="AY77" s="513"/>
      <c r="AZ77" s="513"/>
      <c r="BA77" s="513"/>
    </row>
    <row r="78" spans="39:53" x14ac:dyDescent="0.2">
      <c r="AM78" s="513"/>
      <c r="AN78" s="513"/>
      <c r="AO78" s="513"/>
      <c r="AP78" s="513"/>
      <c r="AQ78" s="513"/>
      <c r="AR78" s="513"/>
      <c r="AS78" s="513"/>
      <c r="AT78" s="513"/>
      <c r="AU78" s="513"/>
      <c r="AV78" s="513"/>
      <c r="AW78" s="513"/>
      <c r="AX78" s="513"/>
      <c r="AY78" s="513"/>
      <c r="AZ78" s="513"/>
      <c r="BA78" s="513"/>
    </row>
    <row r="79" spans="39:53" x14ac:dyDescent="0.2">
      <c r="AM79" s="513"/>
      <c r="AN79" s="513"/>
      <c r="AO79" s="513"/>
      <c r="AP79" s="513"/>
      <c r="AQ79" s="513"/>
      <c r="AR79" s="513"/>
      <c r="AS79" s="513"/>
      <c r="AT79" s="513"/>
      <c r="AU79" s="513"/>
      <c r="AV79" s="513"/>
      <c r="AW79" s="513"/>
      <c r="AX79" s="513"/>
      <c r="AY79" s="513"/>
      <c r="AZ79" s="513"/>
      <c r="BA79" s="513"/>
    </row>
    <row r="80" spans="39:53" x14ac:dyDescent="0.2">
      <c r="AM80" s="513"/>
      <c r="AN80" s="513"/>
      <c r="AO80" s="513"/>
      <c r="AP80" s="513"/>
      <c r="AQ80" s="513"/>
      <c r="AR80" s="513"/>
      <c r="AS80" s="513"/>
      <c r="AT80" s="513"/>
      <c r="AU80" s="513"/>
      <c r="AV80" s="513"/>
      <c r="AW80" s="513"/>
      <c r="AX80" s="513"/>
      <c r="AY80" s="513"/>
      <c r="AZ80" s="513"/>
      <c r="BA80" s="513"/>
    </row>
    <row r="81" spans="39:53" x14ac:dyDescent="0.2">
      <c r="AM81" s="513"/>
      <c r="AN81" s="513"/>
      <c r="AO81" s="513"/>
      <c r="AP81" s="513"/>
      <c r="AQ81" s="513"/>
      <c r="AR81" s="513"/>
      <c r="AS81" s="513"/>
      <c r="AT81" s="513"/>
      <c r="AU81" s="513"/>
      <c r="AV81" s="513"/>
      <c r="AW81" s="513"/>
      <c r="AX81" s="513"/>
      <c r="AY81" s="513"/>
      <c r="AZ81" s="513"/>
      <c r="BA81" s="513"/>
    </row>
    <row r="82" spans="39:53" x14ac:dyDescent="0.2">
      <c r="AM82" s="513"/>
      <c r="AN82" s="513"/>
      <c r="AO82" s="513"/>
      <c r="AP82" s="513"/>
      <c r="AQ82" s="513"/>
      <c r="AR82" s="513"/>
      <c r="AS82" s="513"/>
      <c r="AT82" s="513"/>
      <c r="AU82" s="513"/>
      <c r="AV82" s="513"/>
      <c r="AW82" s="513"/>
      <c r="AX82" s="513"/>
      <c r="AY82" s="513"/>
      <c r="AZ82" s="513"/>
      <c r="BA82" s="513"/>
    </row>
    <row r="83" spans="39:53" x14ac:dyDescent="0.2">
      <c r="AM83" s="513"/>
      <c r="AN83" s="513"/>
      <c r="AO83" s="513"/>
      <c r="AP83" s="513"/>
      <c r="AQ83" s="513"/>
      <c r="AR83" s="513"/>
      <c r="AS83" s="513"/>
      <c r="AT83" s="513"/>
      <c r="AU83" s="513"/>
      <c r="AV83" s="513"/>
      <c r="AW83" s="513"/>
      <c r="AX83" s="513"/>
      <c r="AY83" s="513"/>
      <c r="AZ83" s="513"/>
      <c r="BA83" s="513"/>
    </row>
    <row r="84" spans="39:53" x14ac:dyDescent="0.2">
      <c r="AM84" s="513"/>
      <c r="AN84" s="513"/>
      <c r="AO84" s="513"/>
      <c r="AP84" s="513"/>
      <c r="AQ84" s="513"/>
      <c r="AR84" s="513"/>
      <c r="AS84" s="513"/>
      <c r="AT84" s="513"/>
      <c r="AU84" s="513"/>
      <c r="AV84" s="513"/>
      <c r="AW84" s="513"/>
      <c r="AX84" s="513"/>
      <c r="AY84" s="513"/>
      <c r="AZ84" s="513"/>
      <c r="BA84" s="513"/>
    </row>
    <row r="85" spans="39:53" x14ac:dyDescent="0.2">
      <c r="AM85" s="513"/>
      <c r="AN85" s="513"/>
      <c r="AO85" s="513"/>
      <c r="AP85" s="513"/>
      <c r="AQ85" s="513"/>
      <c r="AR85" s="513"/>
      <c r="AS85" s="513"/>
      <c r="AT85" s="513"/>
      <c r="AU85" s="513"/>
      <c r="AV85" s="513"/>
      <c r="AW85" s="513"/>
      <c r="AX85" s="513"/>
      <c r="AY85" s="513"/>
      <c r="AZ85" s="513"/>
      <c r="BA85" s="513"/>
    </row>
    <row r="86" spans="39:53" x14ac:dyDescent="0.2">
      <c r="AM86" s="513"/>
      <c r="AN86" s="513"/>
      <c r="AO86" s="513"/>
      <c r="AP86" s="513"/>
      <c r="AQ86" s="513"/>
      <c r="AR86" s="513"/>
      <c r="AS86" s="513"/>
      <c r="AT86" s="513"/>
      <c r="AU86" s="513"/>
      <c r="AV86" s="513"/>
      <c r="AW86" s="513"/>
      <c r="AX86" s="513"/>
      <c r="AY86" s="513"/>
      <c r="AZ86" s="513"/>
      <c r="BA86" s="513"/>
    </row>
    <row r="87" spans="39:53" x14ac:dyDescent="0.2">
      <c r="AM87" s="513"/>
      <c r="AN87" s="513"/>
      <c r="AO87" s="513"/>
      <c r="AP87" s="513"/>
      <c r="AQ87" s="513"/>
      <c r="AR87" s="513"/>
      <c r="AS87" s="513"/>
      <c r="AT87" s="513"/>
      <c r="AU87" s="513"/>
      <c r="AV87" s="513"/>
      <c r="AW87" s="513"/>
      <c r="AX87" s="513"/>
      <c r="AY87" s="513"/>
      <c r="AZ87" s="513"/>
      <c r="BA87" s="513"/>
    </row>
    <row r="88" spans="39:53" x14ac:dyDescent="0.2">
      <c r="AM88" s="513"/>
      <c r="AN88" s="513"/>
      <c r="AO88" s="513"/>
      <c r="AP88" s="513"/>
      <c r="AQ88" s="513"/>
      <c r="AR88" s="513"/>
      <c r="AS88" s="513"/>
      <c r="AT88" s="513"/>
      <c r="AU88" s="513"/>
      <c r="AV88" s="513"/>
      <c r="AW88" s="513"/>
      <c r="AX88" s="513"/>
      <c r="AY88" s="513"/>
      <c r="AZ88" s="513"/>
      <c r="BA88" s="513"/>
    </row>
    <row r="89" spans="39:53" x14ac:dyDescent="0.2">
      <c r="AM89" s="513"/>
      <c r="AN89" s="513"/>
      <c r="AO89" s="513"/>
      <c r="AP89" s="513"/>
      <c r="AQ89" s="513"/>
      <c r="AR89" s="513"/>
      <c r="AS89" s="513"/>
      <c r="AT89" s="513"/>
      <c r="AU89" s="513"/>
      <c r="AV89" s="513"/>
      <c r="AW89" s="513"/>
      <c r="AX89" s="513"/>
      <c r="AY89" s="513"/>
      <c r="AZ89" s="513"/>
      <c r="BA89" s="513"/>
    </row>
    <row r="90" spans="39:53" x14ac:dyDescent="0.2">
      <c r="AM90" s="513"/>
      <c r="AN90" s="513"/>
      <c r="AO90" s="513"/>
      <c r="AP90" s="513"/>
      <c r="AQ90" s="513"/>
      <c r="AR90" s="513"/>
      <c r="AS90" s="513"/>
      <c r="AT90" s="513"/>
      <c r="AU90" s="513"/>
      <c r="AV90" s="513"/>
      <c r="AW90" s="513"/>
      <c r="AX90" s="513"/>
      <c r="AY90" s="513"/>
      <c r="AZ90" s="513"/>
      <c r="BA90" s="513"/>
    </row>
    <row r="91" spans="39:53" x14ac:dyDescent="0.2">
      <c r="AM91" s="513"/>
      <c r="AN91" s="513"/>
      <c r="AO91" s="513"/>
      <c r="AP91" s="513"/>
      <c r="AQ91" s="513"/>
      <c r="AR91" s="513"/>
      <c r="AS91" s="513"/>
      <c r="AT91" s="513"/>
      <c r="AU91" s="513"/>
      <c r="AV91" s="513"/>
      <c r="AW91" s="513"/>
      <c r="AX91" s="513"/>
      <c r="AY91" s="513"/>
      <c r="AZ91" s="513"/>
      <c r="BA91" s="513"/>
    </row>
    <row r="92" spans="39:53" x14ac:dyDescent="0.2">
      <c r="AM92" s="513"/>
      <c r="AN92" s="513"/>
      <c r="AO92" s="513"/>
      <c r="AP92" s="513"/>
      <c r="AQ92" s="513"/>
      <c r="AR92" s="513"/>
      <c r="AS92" s="513"/>
      <c r="AT92" s="513"/>
      <c r="AU92" s="513"/>
      <c r="AV92" s="513"/>
      <c r="AW92" s="513"/>
      <c r="AX92" s="513"/>
      <c r="AY92" s="513"/>
      <c r="AZ92" s="513"/>
      <c r="BA92" s="513"/>
    </row>
    <row r="93" spans="39:53" x14ac:dyDescent="0.2">
      <c r="AM93" s="513"/>
      <c r="AN93" s="513"/>
      <c r="AO93" s="513"/>
      <c r="AP93" s="513"/>
      <c r="AQ93" s="513"/>
      <c r="AR93" s="513"/>
      <c r="AS93" s="513"/>
      <c r="AT93" s="513"/>
      <c r="AU93" s="513"/>
      <c r="AV93" s="513"/>
      <c r="AW93" s="513"/>
      <c r="AX93" s="513"/>
      <c r="AY93" s="513"/>
      <c r="AZ93" s="513"/>
      <c r="BA93" s="513"/>
    </row>
    <row r="94" spans="39:53" x14ac:dyDescent="0.2">
      <c r="AM94" s="513"/>
      <c r="AN94" s="513"/>
      <c r="AO94" s="513"/>
      <c r="AP94" s="513"/>
      <c r="AQ94" s="513"/>
      <c r="AR94" s="513"/>
      <c r="AS94" s="513"/>
      <c r="AT94" s="513"/>
      <c r="AU94" s="513"/>
      <c r="AV94" s="513"/>
      <c r="AW94" s="513"/>
      <c r="AX94" s="513"/>
      <c r="AY94" s="513"/>
      <c r="AZ94" s="513"/>
      <c r="BA94" s="513"/>
    </row>
    <row r="95" spans="39:53" x14ac:dyDescent="0.2">
      <c r="AM95" s="513"/>
      <c r="AN95" s="513"/>
      <c r="AO95" s="513"/>
      <c r="AP95" s="513"/>
      <c r="AQ95" s="513"/>
      <c r="AR95" s="513"/>
      <c r="AS95" s="513"/>
      <c r="AT95" s="513"/>
      <c r="AU95" s="513"/>
      <c r="AV95" s="513"/>
      <c r="AW95" s="513"/>
      <c r="AX95" s="513"/>
      <c r="AY95" s="513"/>
      <c r="AZ95" s="513"/>
      <c r="BA95" s="513"/>
    </row>
    <row r="96" spans="39:53" x14ac:dyDescent="0.2">
      <c r="AM96" s="513"/>
      <c r="AN96" s="513"/>
      <c r="AO96" s="513"/>
      <c r="AP96" s="513"/>
      <c r="AQ96" s="513"/>
      <c r="AR96" s="513"/>
      <c r="AS96" s="513"/>
      <c r="AT96" s="513"/>
      <c r="AU96" s="513"/>
      <c r="AV96" s="513"/>
      <c r="AW96" s="513"/>
      <c r="AX96" s="513"/>
      <c r="AY96" s="513"/>
      <c r="AZ96" s="513"/>
      <c r="BA96" s="513"/>
    </row>
    <row r="97" spans="28:87" x14ac:dyDescent="0.2">
      <c r="AM97" s="513"/>
      <c r="AN97" s="513"/>
      <c r="AO97" s="513"/>
      <c r="AP97" s="513"/>
      <c r="AQ97" s="513"/>
      <c r="AR97" s="513"/>
      <c r="AS97" s="513"/>
      <c r="AT97" s="513"/>
      <c r="AU97" s="513"/>
      <c r="AV97" s="513"/>
      <c r="AW97" s="513"/>
      <c r="AX97" s="513"/>
      <c r="AY97" s="513"/>
      <c r="AZ97" s="513"/>
      <c r="BA97" s="513"/>
    </row>
    <row r="98" spans="28:87" x14ac:dyDescent="0.2">
      <c r="AM98" s="513"/>
      <c r="AN98" s="513"/>
      <c r="AO98" s="513"/>
      <c r="AP98" s="513"/>
      <c r="AQ98" s="513"/>
      <c r="AR98" s="513"/>
      <c r="AS98" s="513"/>
      <c r="AT98" s="513"/>
      <c r="AU98" s="513"/>
      <c r="AV98" s="513"/>
      <c r="AW98" s="513"/>
      <c r="AX98" s="513"/>
      <c r="AY98" s="513"/>
      <c r="AZ98" s="513"/>
      <c r="BA98" s="513"/>
    </row>
    <row r="99" spans="28:87" x14ac:dyDescent="0.2">
      <c r="AM99" s="513"/>
      <c r="AN99" s="513"/>
      <c r="AO99" s="513"/>
      <c r="AP99" s="513"/>
      <c r="AQ99" s="513"/>
      <c r="AR99" s="513"/>
      <c r="AS99" s="513"/>
      <c r="AT99" s="513"/>
      <c r="AU99" s="513"/>
      <c r="AV99" s="513"/>
      <c r="AW99" s="513"/>
      <c r="AX99" s="513"/>
      <c r="AY99" s="513"/>
      <c r="AZ99" s="513"/>
      <c r="BA99" s="513"/>
    </row>
    <row r="100" spans="28:87" x14ac:dyDescent="0.2">
      <c r="AM100" s="513"/>
      <c r="AN100" s="513"/>
      <c r="AO100" s="513"/>
      <c r="AP100" s="513"/>
      <c r="AQ100" s="513"/>
      <c r="AR100" s="513"/>
      <c r="AS100" s="513"/>
      <c r="AT100" s="513"/>
      <c r="AU100" s="513"/>
      <c r="AV100" s="513"/>
      <c r="AW100" s="513"/>
      <c r="AX100" s="513"/>
      <c r="AY100" s="513"/>
      <c r="AZ100" s="513"/>
      <c r="BA100" s="513"/>
    </row>
    <row r="101" spans="28:87" x14ac:dyDescent="0.2">
      <c r="AM101" s="513"/>
      <c r="AN101" s="513"/>
      <c r="AO101" s="513"/>
      <c r="AP101" s="513"/>
      <c r="AQ101" s="513"/>
      <c r="AR101" s="513"/>
      <c r="AS101" s="513"/>
      <c r="AT101" s="513"/>
      <c r="AU101" s="513"/>
      <c r="AV101" s="513"/>
      <c r="AW101" s="513"/>
      <c r="AX101" s="513"/>
      <c r="AY101" s="513"/>
      <c r="AZ101" s="513"/>
      <c r="BA101" s="513"/>
    </row>
    <row r="102" spans="28:87" x14ac:dyDescent="0.2">
      <c r="AM102" s="513"/>
      <c r="AN102" s="513"/>
      <c r="AO102" s="513"/>
      <c r="AP102" s="513"/>
      <c r="AQ102" s="513"/>
      <c r="AR102" s="513"/>
      <c r="AS102" s="513"/>
      <c r="AT102" s="513"/>
      <c r="AU102" s="513"/>
      <c r="AV102" s="513"/>
      <c r="AW102" s="513"/>
      <c r="AX102" s="513"/>
      <c r="AY102" s="513"/>
      <c r="AZ102" s="513"/>
      <c r="BA102" s="513"/>
    </row>
    <row r="103" spans="28:87" x14ac:dyDescent="0.2">
      <c r="AM103" s="513"/>
      <c r="AN103" s="513"/>
      <c r="AO103" s="513"/>
      <c r="AP103" s="513"/>
      <c r="AQ103" s="513"/>
      <c r="AR103" s="513"/>
      <c r="AS103" s="513"/>
      <c r="AT103" s="513"/>
      <c r="AU103" s="513"/>
      <c r="AV103" s="513"/>
      <c r="AW103" s="513"/>
      <c r="AX103" s="513"/>
      <c r="AY103" s="513"/>
      <c r="AZ103" s="513"/>
      <c r="BA103" s="513"/>
    </row>
    <row r="104" spans="28:87" x14ac:dyDescent="0.2">
      <c r="AM104" s="513"/>
      <c r="AN104" s="513"/>
      <c r="AO104" s="513"/>
      <c r="AP104" s="513"/>
      <c r="AQ104" s="513"/>
      <c r="AR104" s="513"/>
      <c r="AS104" s="513"/>
      <c r="AT104" s="513"/>
      <c r="AU104" s="513"/>
      <c r="AV104" s="513"/>
      <c r="AW104" s="513"/>
      <c r="AX104" s="513"/>
      <c r="AY104" s="513"/>
      <c r="AZ104" s="513"/>
      <c r="BA104" s="513"/>
    </row>
    <row r="105" spans="28:87" x14ac:dyDescent="0.2">
      <c r="AM105" s="513"/>
      <c r="AN105" s="513"/>
      <c r="AO105" s="513"/>
      <c r="AP105" s="513"/>
      <c r="AQ105" s="513"/>
      <c r="AR105" s="513"/>
      <c r="AS105" s="513"/>
      <c r="AT105" s="513"/>
      <c r="AU105" s="513"/>
      <c r="AV105" s="513"/>
      <c r="AW105" s="513"/>
      <c r="AX105" s="513"/>
      <c r="AY105" s="513"/>
      <c r="AZ105" s="513"/>
      <c r="BA105" s="513"/>
      <c r="CI105" s="512"/>
    </row>
    <row r="106" spans="28:87" x14ac:dyDescent="0.2">
      <c r="AM106" s="513"/>
      <c r="AN106" s="513"/>
      <c r="AO106" s="513"/>
      <c r="AP106" s="513"/>
      <c r="AQ106" s="513"/>
      <c r="AR106" s="513"/>
      <c r="AS106" s="513"/>
      <c r="AT106" s="513"/>
      <c r="AU106" s="513"/>
      <c r="AV106" s="513"/>
      <c r="AW106" s="513"/>
      <c r="AX106" s="513"/>
      <c r="AY106" s="513"/>
      <c r="AZ106" s="513"/>
      <c r="BA106" s="513"/>
      <c r="CI106" s="462"/>
    </row>
    <row r="107" spans="28:87" x14ac:dyDescent="0.2">
      <c r="AM107" s="513"/>
      <c r="AN107" s="513"/>
      <c r="AO107" s="513"/>
      <c r="AP107" s="513"/>
      <c r="AQ107" s="513"/>
      <c r="AR107" s="513"/>
      <c r="AS107" s="513"/>
      <c r="AT107" s="513"/>
      <c r="AU107" s="513"/>
      <c r="AV107" s="513"/>
      <c r="AW107" s="513"/>
      <c r="AX107" s="513"/>
      <c r="AY107" s="513"/>
      <c r="AZ107" s="513"/>
      <c r="BA107" s="513"/>
    </row>
    <row r="108" spans="28:87" x14ac:dyDescent="0.2">
      <c r="AM108" s="513"/>
      <c r="AN108" s="513"/>
      <c r="AO108" s="513"/>
      <c r="AP108" s="513"/>
      <c r="AQ108" s="513"/>
      <c r="AR108" s="513"/>
      <c r="AS108" s="513"/>
      <c r="AT108" s="513"/>
      <c r="AU108" s="513"/>
      <c r="AV108" s="513"/>
      <c r="AW108" s="513"/>
      <c r="AX108" s="513"/>
      <c r="AY108" s="513"/>
      <c r="AZ108" s="513"/>
      <c r="BA108" s="513"/>
    </row>
    <row r="109" spans="28:87" x14ac:dyDescent="0.2">
      <c r="AM109" s="513"/>
      <c r="AN109" s="513"/>
      <c r="AO109" s="513"/>
      <c r="AP109" s="513"/>
      <c r="AQ109" s="513"/>
      <c r="AR109" s="513"/>
      <c r="AS109" s="513"/>
      <c r="AT109" s="513"/>
      <c r="AU109" s="513"/>
      <c r="AV109" s="513"/>
      <c r="AW109" s="513"/>
      <c r="AX109" s="513"/>
      <c r="AY109" s="513"/>
      <c r="AZ109" s="513"/>
      <c r="BA109" s="513"/>
    </row>
    <row r="110" spans="28:87" x14ac:dyDescent="0.2">
      <c r="AB110" s="512"/>
      <c r="AM110" s="513"/>
      <c r="AN110" s="513"/>
      <c r="AO110" s="513"/>
      <c r="AP110" s="513"/>
      <c r="AQ110" s="513"/>
      <c r="AR110" s="513"/>
      <c r="AS110" s="513"/>
      <c r="AT110" s="513"/>
      <c r="AU110" s="513"/>
      <c r="AV110" s="513"/>
      <c r="AW110" s="513"/>
      <c r="AX110" s="513"/>
      <c r="AY110" s="513"/>
      <c r="AZ110" s="513"/>
      <c r="BA110" s="513"/>
    </row>
    <row r="111" spans="28:87" x14ac:dyDescent="0.2">
      <c r="AB111" s="512"/>
      <c r="AM111" s="513"/>
      <c r="AN111" s="513"/>
      <c r="AO111" s="513"/>
      <c r="AP111" s="513"/>
      <c r="AQ111" s="513"/>
      <c r="AR111" s="513"/>
      <c r="AS111" s="513"/>
      <c r="AT111" s="513"/>
      <c r="AU111" s="513"/>
      <c r="AV111" s="513"/>
      <c r="AW111" s="513"/>
      <c r="AX111" s="513"/>
      <c r="AY111" s="513"/>
      <c r="AZ111" s="513"/>
      <c r="BA111" s="513"/>
    </row>
    <row r="112" spans="28:87" x14ac:dyDescent="0.2">
      <c r="AM112" s="513"/>
      <c r="AN112" s="513"/>
      <c r="AO112" s="513"/>
      <c r="AP112" s="513"/>
      <c r="AQ112" s="513"/>
      <c r="AR112" s="513"/>
      <c r="AS112" s="513"/>
      <c r="AT112" s="513"/>
      <c r="AU112" s="513"/>
      <c r="AV112" s="513"/>
      <c r="AW112" s="513"/>
      <c r="AX112" s="513"/>
      <c r="AY112" s="513"/>
      <c r="AZ112" s="513"/>
      <c r="BA112" s="513"/>
    </row>
    <row r="113" spans="30:53" x14ac:dyDescent="0.2">
      <c r="AM113" s="513"/>
      <c r="AN113" s="513"/>
      <c r="AO113" s="513"/>
      <c r="AP113" s="513"/>
      <c r="AQ113" s="513"/>
      <c r="AR113" s="513"/>
      <c r="AS113" s="513"/>
      <c r="AT113" s="513"/>
      <c r="AU113" s="513"/>
      <c r="AV113" s="513"/>
      <c r="AW113" s="513"/>
      <c r="AX113" s="513"/>
      <c r="AY113" s="513"/>
      <c r="AZ113" s="513"/>
      <c r="BA113" s="513"/>
    </row>
    <row r="114" spans="30:53" x14ac:dyDescent="0.2">
      <c r="AM114" s="513"/>
      <c r="AN114" s="513"/>
      <c r="AO114" s="513"/>
      <c r="AP114" s="513"/>
      <c r="AQ114" s="513"/>
      <c r="AR114" s="513"/>
      <c r="AS114" s="513"/>
      <c r="AT114" s="513"/>
      <c r="AU114" s="513"/>
      <c r="AV114" s="513"/>
      <c r="AW114" s="513"/>
      <c r="AX114" s="513"/>
      <c r="AY114" s="513"/>
      <c r="AZ114" s="513"/>
      <c r="BA114" s="513"/>
    </row>
    <row r="115" spans="30:53" x14ac:dyDescent="0.2">
      <c r="AM115" s="513"/>
      <c r="AN115" s="513"/>
      <c r="AO115" s="513"/>
      <c r="AP115" s="513"/>
      <c r="AQ115" s="513"/>
      <c r="AR115" s="513"/>
      <c r="AS115" s="513"/>
      <c r="AT115" s="513"/>
      <c r="AU115" s="513"/>
      <c r="AV115" s="513"/>
      <c r="AW115" s="513"/>
      <c r="AX115" s="513"/>
      <c r="AY115" s="513"/>
      <c r="AZ115" s="513"/>
      <c r="BA115" s="513"/>
    </row>
    <row r="116" spans="30:53" x14ac:dyDescent="0.2">
      <c r="AM116" s="513"/>
      <c r="AN116" s="513"/>
      <c r="AO116" s="513"/>
      <c r="AP116" s="513"/>
      <c r="AQ116" s="513"/>
      <c r="AR116" s="513"/>
      <c r="AS116" s="513"/>
      <c r="AT116" s="513"/>
      <c r="AU116" s="513"/>
      <c r="AV116" s="513"/>
      <c r="AW116" s="513"/>
      <c r="AX116" s="513"/>
      <c r="AY116" s="513"/>
      <c r="AZ116" s="513"/>
      <c r="BA116" s="513"/>
    </row>
    <row r="117" spans="30:53" x14ac:dyDescent="0.2">
      <c r="AM117" s="513"/>
      <c r="AN117" s="513"/>
      <c r="AO117" s="513"/>
      <c r="AP117" s="513"/>
      <c r="AQ117" s="513"/>
      <c r="AR117" s="513"/>
      <c r="AS117" s="513"/>
      <c r="AT117" s="513"/>
      <c r="AU117" s="513"/>
      <c r="AV117" s="513"/>
      <c r="AW117" s="513"/>
      <c r="AX117" s="513"/>
      <c r="AY117" s="513"/>
      <c r="AZ117" s="513"/>
      <c r="BA117" s="513"/>
    </row>
    <row r="118" spans="30:53" x14ac:dyDescent="0.2">
      <c r="AM118" s="513"/>
      <c r="AN118" s="513"/>
      <c r="AO118" s="513"/>
      <c r="AP118" s="513"/>
      <c r="AQ118" s="513"/>
      <c r="AR118" s="513"/>
      <c r="AS118" s="513"/>
      <c r="AT118" s="513"/>
      <c r="AU118" s="513"/>
      <c r="AV118" s="513"/>
      <c r="AW118" s="513"/>
      <c r="AX118" s="513"/>
      <c r="AY118" s="513"/>
      <c r="AZ118" s="513"/>
      <c r="BA118" s="513"/>
    </row>
    <row r="127" spans="30:53" x14ac:dyDescent="0.2">
      <c r="AD127" s="462"/>
      <c r="AF127" s="462"/>
      <c r="AG127" s="462"/>
    </row>
    <row r="128" spans="30:53" x14ac:dyDescent="0.2">
      <c r="AD128" s="462"/>
      <c r="AE128" s="462"/>
      <c r="AF128" s="462"/>
      <c r="AG128" s="462"/>
    </row>
    <row r="129" spans="28:33" x14ac:dyDescent="0.2">
      <c r="AD129" s="512"/>
      <c r="AE129" s="512"/>
      <c r="AF129" s="512"/>
      <c r="AG129" s="512"/>
    </row>
    <row r="130" spans="28:33" x14ac:dyDescent="0.2">
      <c r="AD130" s="512"/>
      <c r="AE130" s="512"/>
      <c r="AF130" s="512"/>
      <c r="AG130" s="512"/>
    </row>
    <row r="131" spans="28:33" x14ac:dyDescent="0.2">
      <c r="AD131" s="512"/>
      <c r="AE131" s="512"/>
      <c r="AF131" s="512"/>
      <c r="AG131" s="512"/>
    </row>
    <row r="132" spans="28:33" x14ac:dyDescent="0.2">
      <c r="AD132" s="512"/>
      <c r="AE132" s="512"/>
      <c r="AF132" s="512"/>
      <c r="AG132" s="512"/>
    </row>
    <row r="133" spans="28:33" x14ac:dyDescent="0.2">
      <c r="AB133" s="462"/>
      <c r="AC133" s="462"/>
      <c r="AD133" s="512"/>
      <c r="AE133" s="512"/>
      <c r="AF133" s="512"/>
      <c r="AG133" s="512"/>
    </row>
    <row r="134" spans="28:33" x14ac:dyDescent="0.2">
      <c r="AB134" s="512"/>
      <c r="AC134" s="512"/>
    </row>
    <row r="135" spans="28:33" x14ac:dyDescent="0.2">
      <c r="AB135" s="512"/>
      <c r="AC135" s="512"/>
      <c r="AD135" s="512"/>
      <c r="AE135" s="512"/>
      <c r="AF135" s="512"/>
      <c r="AG135" s="512"/>
    </row>
    <row r="136" spans="28:33" x14ac:dyDescent="0.2">
      <c r="AB136" s="512"/>
      <c r="AC136" s="512"/>
    </row>
    <row r="137" spans="28:33" x14ac:dyDescent="0.2">
      <c r="AB137" s="512"/>
      <c r="AC137" s="512"/>
      <c r="AD137" s="512"/>
      <c r="AE137" s="512"/>
      <c r="AF137" s="512"/>
      <c r="AG137" s="512"/>
    </row>
    <row r="138" spans="28:33" x14ac:dyDescent="0.2">
      <c r="AB138" s="512"/>
      <c r="AC138" s="512"/>
      <c r="AD138" s="512"/>
      <c r="AE138" s="512"/>
      <c r="AF138" s="512"/>
      <c r="AG138" s="512"/>
    </row>
    <row r="139" spans="28:33" x14ac:dyDescent="0.2">
      <c r="AD139" s="512"/>
      <c r="AE139" s="512"/>
      <c r="AF139" s="512"/>
      <c r="AG139" s="512"/>
    </row>
    <row r="140" spans="28:33" x14ac:dyDescent="0.2">
      <c r="AB140" s="512"/>
      <c r="AC140" s="512"/>
      <c r="AD140" s="512"/>
      <c r="AE140" s="512"/>
      <c r="AF140" s="512"/>
      <c r="AG140" s="512"/>
    </row>
    <row r="142" spans="28:33" x14ac:dyDescent="0.2">
      <c r="AB142" s="512"/>
      <c r="AC142" s="512"/>
    </row>
    <row r="143" spans="28:33" x14ac:dyDescent="0.2">
      <c r="AB143" s="512"/>
      <c r="AC143" s="512"/>
    </row>
    <row r="144" spans="28:33" x14ac:dyDescent="0.2">
      <c r="AB144" s="512"/>
      <c r="AC144" s="512"/>
    </row>
    <row r="145" spans="28:29" x14ac:dyDescent="0.2">
      <c r="AB145" s="512"/>
      <c r="AC145" s="512"/>
    </row>
  </sheetData>
  <mergeCells count="29">
    <mergeCell ref="AS5:AT5"/>
    <mergeCell ref="AH5:AI5"/>
    <mergeCell ref="AK5:AL5"/>
    <mergeCell ref="AM5:AN5"/>
    <mergeCell ref="AO5:AP5"/>
    <mergeCell ref="AQ5:AR5"/>
    <mergeCell ref="BQ5:BR5"/>
    <mergeCell ref="AU5:AV5"/>
    <mergeCell ref="AW5:AX5"/>
    <mergeCell ref="AY5:AZ5"/>
    <mergeCell ref="BA5:BB5"/>
    <mergeCell ref="BC5:BD5"/>
    <mergeCell ref="BE5:BF5"/>
    <mergeCell ref="BG5:BH5"/>
    <mergeCell ref="BI5:BJ5"/>
    <mergeCell ref="BK5:BL5"/>
    <mergeCell ref="BM5:BN5"/>
    <mergeCell ref="BO5:BP5"/>
    <mergeCell ref="BS5:BT5"/>
    <mergeCell ref="BU5:BV5"/>
    <mergeCell ref="BW5:BX5"/>
    <mergeCell ref="BY5:BZ5"/>
    <mergeCell ref="CA5:CB5"/>
    <mergeCell ref="CE5:CF5"/>
    <mergeCell ref="CG5:CH5"/>
    <mergeCell ref="CA48:CI48"/>
    <mergeCell ref="CA59:CC59"/>
    <mergeCell ref="CA60:CI60"/>
    <mergeCell ref="CC5:CD5"/>
  </mergeCells>
  <printOptions horizontalCentered="1"/>
  <pageMargins left="0.6" right="0.5" top="0.25" bottom="0" header="0.25" footer="0"/>
  <pageSetup scale="83" orientation="landscape" r:id="rId1"/>
  <headerFooter alignWithMargins="0">
    <oddFooter>&amp;C&amp;P</oddFooter>
  </headerFooter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view="pageBreakPreview" zoomScaleNormal="100" zoomScaleSheetLayoutView="100" workbookViewId="0">
      <selection activeCell="BQ40" sqref="BQ40"/>
    </sheetView>
  </sheetViews>
  <sheetFormatPr defaultColWidth="9.140625" defaultRowHeight="12.75" x14ac:dyDescent="0.2"/>
  <cols>
    <col min="1" max="1" width="10.5703125" style="401" customWidth="1"/>
    <col min="2" max="2" width="7.5703125" style="401" hidden="1" customWidth="1"/>
    <col min="3" max="3" width="8.7109375" style="401" hidden="1" customWidth="1"/>
    <col min="4" max="4" width="7.5703125" style="401" customWidth="1"/>
    <col min="5" max="5" width="8.7109375" style="401" customWidth="1"/>
    <col min="6" max="6" width="7.5703125" style="401" hidden="1" customWidth="1"/>
    <col min="7" max="7" width="8.7109375" style="401" hidden="1" customWidth="1"/>
    <col min="8" max="8" width="7.5703125" style="401" customWidth="1"/>
    <col min="9" max="9" width="8.7109375" style="401" customWidth="1"/>
    <col min="10" max="10" width="7.5703125" style="401" hidden="1" customWidth="1"/>
    <col min="11" max="11" width="8.7109375" style="401" hidden="1" customWidth="1"/>
    <col min="12" max="12" width="7.5703125" style="401" hidden="1" customWidth="1"/>
    <col min="13" max="13" width="8.7109375" style="401" hidden="1" customWidth="1"/>
    <col min="14" max="14" width="7.5703125" style="401" hidden="1" customWidth="1"/>
    <col min="15" max="15" width="8.7109375" style="401" hidden="1" customWidth="1"/>
    <col min="16" max="16" width="7.5703125" style="401" hidden="1" customWidth="1"/>
    <col min="17" max="17" width="8.7109375" style="401" hidden="1" customWidth="1"/>
    <col min="18" max="18" width="7.5703125" style="401" hidden="1" customWidth="1"/>
    <col min="19" max="19" width="8.7109375" style="401" hidden="1" customWidth="1"/>
    <col min="20" max="20" width="7.5703125" style="401" hidden="1" customWidth="1"/>
    <col min="21" max="21" width="8.7109375" style="401" hidden="1" customWidth="1"/>
    <col min="22" max="22" width="7.5703125" style="401" hidden="1" customWidth="1"/>
    <col min="23" max="23" width="8.7109375" style="401" hidden="1" customWidth="1"/>
    <col min="24" max="24" width="7.5703125" style="401" hidden="1" customWidth="1"/>
    <col min="25" max="25" width="8.7109375" style="401" hidden="1" customWidth="1"/>
    <col min="26" max="26" width="7.5703125" style="401" hidden="1" customWidth="1"/>
    <col min="27" max="27" width="8.7109375" style="401" hidden="1" customWidth="1"/>
    <col min="28" max="28" width="7.5703125" style="401" customWidth="1"/>
    <col min="29" max="29" width="8.7109375" style="401" customWidth="1"/>
    <col min="30" max="30" width="7.5703125" style="401" hidden="1" customWidth="1"/>
    <col min="31" max="31" width="8.7109375" style="401" hidden="1" customWidth="1"/>
    <col min="32" max="32" width="7.5703125" style="401" hidden="1" customWidth="1"/>
    <col min="33" max="33" width="8.7109375" style="401" hidden="1" customWidth="1"/>
    <col min="34" max="34" width="7.5703125" style="401" hidden="1" customWidth="1"/>
    <col min="35" max="35" width="8.7109375" style="401" hidden="1" customWidth="1"/>
    <col min="36" max="36" width="7.5703125" style="401" hidden="1" customWidth="1"/>
    <col min="37" max="37" width="8.7109375" style="401" hidden="1" customWidth="1"/>
    <col min="38" max="38" width="7.5703125" style="401" hidden="1" customWidth="1"/>
    <col min="39" max="47" width="8.7109375" style="401" hidden="1" customWidth="1"/>
    <col min="48" max="49" width="8.7109375" style="401" customWidth="1"/>
    <col min="50" max="59" width="8.7109375" style="401" hidden="1" customWidth="1"/>
    <col min="60" max="60" width="7.85546875" style="401" hidden="1" customWidth="1"/>
    <col min="61" max="61" width="8.7109375" style="401" hidden="1" customWidth="1"/>
    <col min="62" max="62" width="7.85546875" style="401" hidden="1" customWidth="1"/>
    <col min="63" max="67" width="8.7109375" style="401" hidden="1" customWidth="1"/>
    <col min="68" max="69" width="8.7109375" style="401" customWidth="1"/>
    <col min="70" max="16384" width="9.140625" style="401"/>
  </cols>
  <sheetData>
    <row r="1" spans="1:70" ht="16.5" thickBot="1" x14ac:dyDescent="0.3">
      <c r="A1" s="399" t="s">
        <v>715</v>
      </c>
      <c r="B1" s="521"/>
      <c r="C1" s="521"/>
      <c r="D1" s="521"/>
      <c r="E1" s="522"/>
      <c r="F1" s="521"/>
      <c r="G1" s="522"/>
      <c r="H1" s="521"/>
      <c r="I1" s="521"/>
      <c r="J1" s="521"/>
      <c r="K1" s="521"/>
      <c r="L1" s="521"/>
      <c r="M1" s="521"/>
      <c r="N1" s="521"/>
      <c r="O1" s="521"/>
      <c r="P1" s="521"/>
      <c r="Q1" s="521"/>
      <c r="R1" s="521"/>
      <c r="S1" s="521"/>
      <c r="T1" s="521"/>
      <c r="U1" s="521"/>
      <c r="V1" s="521"/>
      <c r="W1" s="521"/>
      <c r="X1" s="521"/>
      <c r="Y1" s="521"/>
      <c r="Z1" s="521"/>
      <c r="AA1" s="521"/>
      <c r="AB1" s="521"/>
      <c r="AC1" s="521"/>
      <c r="AD1" s="521"/>
      <c r="AE1" s="521"/>
      <c r="AF1" s="521"/>
      <c r="AG1" s="521"/>
      <c r="AH1" s="521"/>
      <c r="AI1" s="521"/>
      <c r="AJ1" s="521"/>
      <c r="AK1" s="521"/>
      <c r="AL1" s="521"/>
      <c r="AM1" s="521"/>
      <c r="AN1" s="521"/>
      <c r="AO1" s="521"/>
      <c r="AP1" s="521"/>
      <c r="AQ1" s="521"/>
      <c r="AR1" s="521"/>
      <c r="AS1" s="521"/>
      <c r="AT1" s="521"/>
      <c r="AU1" s="521"/>
      <c r="AV1" s="521"/>
      <c r="AW1" s="521"/>
      <c r="AX1" s="521"/>
      <c r="AY1" s="521"/>
      <c r="AZ1" s="521"/>
      <c r="BA1" s="521"/>
      <c r="BB1" s="521"/>
      <c r="BC1" s="521"/>
      <c r="BD1" s="521"/>
      <c r="BE1" s="521"/>
      <c r="BF1" s="521"/>
      <c r="BG1" s="521"/>
      <c r="BH1" s="521"/>
      <c r="BI1" s="521"/>
      <c r="BJ1" s="521"/>
      <c r="BK1" s="521"/>
      <c r="BL1" s="521"/>
      <c r="BM1" s="521"/>
      <c r="BN1" s="521"/>
      <c r="BO1" s="521"/>
      <c r="BP1" s="521"/>
      <c r="BQ1" s="521"/>
      <c r="BR1" s="521"/>
    </row>
    <row r="2" spans="1:70" ht="15.75" x14ac:dyDescent="0.25">
      <c r="A2" s="402" t="s">
        <v>716</v>
      </c>
    </row>
    <row r="3" spans="1:70" x14ac:dyDescent="0.2">
      <c r="A3" s="404" t="s">
        <v>922</v>
      </c>
    </row>
    <row r="4" spans="1:70" x14ac:dyDescent="0.2">
      <c r="A4" s="523"/>
    </row>
    <row r="5" spans="1:70" ht="25.5" x14ac:dyDescent="0.2">
      <c r="A5" s="432"/>
      <c r="B5" s="434" t="s">
        <v>717</v>
      </c>
      <c r="C5" s="434"/>
      <c r="D5" s="434" t="s">
        <v>687</v>
      </c>
      <c r="E5" s="434"/>
      <c r="F5" s="434" t="s">
        <v>688</v>
      </c>
      <c r="G5" s="434"/>
      <c r="H5" s="434" t="s">
        <v>697</v>
      </c>
      <c r="I5" s="434"/>
      <c r="J5" s="434" t="s">
        <v>698</v>
      </c>
      <c r="K5" s="434"/>
      <c r="L5" s="434" t="s">
        <v>699</v>
      </c>
      <c r="M5" s="434"/>
      <c r="N5" s="434" t="s">
        <v>84</v>
      </c>
      <c r="O5" s="434"/>
      <c r="P5" s="434" t="s">
        <v>85</v>
      </c>
      <c r="Q5" s="434"/>
      <c r="R5" s="434" t="s">
        <v>86</v>
      </c>
      <c r="S5" s="434"/>
      <c r="T5" s="434" t="s">
        <v>87</v>
      </c>
      <c r="U5" s="434"/>
      <c r="V5" s="434" t="s">
        <v>88</v>
      </c>
      <c r="W5" s="434"/>
      <c r="X5" s="434" t="s">
        <v>89</v>
      </c>
      <c r="Y5" s="434"/>
      <c r="Z5" s="434" t="s">
        <v>90</v>
      </c>
      <c r="AA5" s="434"/>
      <c r="AB5" s="434" t="s">
        <v>91</v>
      </c>
      <c r="AC5" s="434"/>
      <c r="AD5" s="434" t="s">
        <v>92</v>
      </c>
      <c r="AE5" s="434"/>
      <c r="AF5" s="434" t="s">
        <v>93</v>
      </c>
      <c r="AG5" s="434"/>
      <c r="AH5" s="434" t="s">
        <v>94</v>
      </c>
      <c r="AI5" s="434"/>
      <c r="AJ5" s="434" t="s">
        <v>95</v>
      </c>
      <c r="AK5" s="434"/>
      <c r="AL5" s="434" t="s">
        <v>96</v>
      </c>
      <c r="AM5" s="434"/>
      <c r="AN5" s="1065" t="s">
        <v>97</v>
      </c>
      <c r="AO5" s="1066"/>
      <c r="AP5" s="1065" t="s">
        <v>98</v>
      </c>
      <c r="AQ5" s="1066"/>
      <c r="AR5" s="1065" t="s">
        <v>99</v>
      </c>
      <c r="AS5" s="1066"/>
      <c r="AT5" s="1065" t="s">
        <v>100</v>
      </c>
      <c r="AU5" s="1066"/>
      <c r="AV5" s="1065" t="s">
        <v>101</v>
      </c>
      <c r="AW5" s="1066"/>
      <c r="AX5" s="1065" t="s">
        <v>102</v>
      </c>
      <c r="AY5" s="1066"/>
      <c r="AZ5" s="1067" t="s">
        <v>103</v>
      </c>
      <c r="BA5" s="1068"/>
      <c r="BB5" s="1065" t="s">
        <v>104</v>
      </c>
      <c r="BC5" s="1066"/>
      <c r="BD5" s="1065" t="s">
        <v>146</v>
      </c>
      <c r="BE5" s="1066"/>
      <c r="BF5" s="1065" t="s">
        <v>154</v>
      </c>
      <c r="BG5" s="1066"/>
      <c r="BH5" s="1065" t="s">
        <v>158</v>
      </c>
      <c r="BI5" s="1066"/>
      <c r="BJ5" s="1065" t="s">
        <v>224</v>
      </c>
      <c r="BK5" s="1066"/>
      <c r="BL5" s="1065" t="s">
        <v>229</v>
      </c>
      <c r="BM5" s="1066"/>
      <c r="BN5" s="1065" t="s">
        <v>236</v>
      </c>
      <c r="BO5" s="1066"/>
      <c r="BP5" s="1065" t="s">
        <v>533</v>
      </c>
      <c r="BQ5" s="1066"/>
      <c r="BR5" s="524" t="s">
        <v>718</v>
      </c>
    </row>
    <row r="6" spans="1:70" ht="25.5" x14ac:dyDescent="0.2">
      <c r="A6" s="444"/>
      <c r="B6" s="525" t="s">
        <v>719</v>
      </c>
      <c r="C6" s="524" t="s">
        <v>720</v>
      </c>
      <c r="D6" s="524" t="s">
        <v>719</v>
      </c>
      <c r="E6" s="524" t="s">
        <v>720</v>
      </c>
      <c r="F6" s="524" t="s">
        <v>719</v>
      </c>
      <c r="G6" s="524" t="s">
        <v>720</v>
      </c>
      <c r="H6" s="524" t="s">
        <v>719</v>
      </c>
      <c r="I6" s="524" t="s">
        <v>720</v>
      </c>
      <c r="J6" s="524" t="s">
        <v>719</v>
      </c>
      <c r="K6" s="524" t="s">
        <v>720</v>
      </c>
      <c r="L6" s="524" t="s">
        <v>719</v>
      </c>
      <c r="M6" s="524" t="s">
        <v>720</v>
      </c>
      <c r="N6" s="524" t="s">
        <v>719</v>
      </c>
      <c r="O6" s="524" t="s">
        <v>720</v>
      </c>
      <c r="P6" s="524" t="s">
        <v>719</v>
      </c>
      <c r="Q6" s="524" t="s">
        <v>720</v>
      </c>
      <c r="R6" s="524" t="s">
        <v>719</v>
      </c>
      <c r="S6" s="524" t="s">
        <v>720</v>
      </c>
      <c r="T6" s="524" t="s">
        <v>719</v>
      </c>
      <c r="U6" s="524" t="s">
        <v>720</v>
      </c>
      <c r="V6" s="524" t="s">
        <v>719</v>
      </c>
      <c r="W6" s="524" t="s">
        <v>720</v>
      </c>
      <c r="X6" s="524" t="s">
        <v>719</v>
      </c>
      <c r="Y6" s="524" t="s">
        <v>720</v>
      </c>
      <c r="Z6" s="524" t="s">
        <v>719</v>
      </c>
      <c r="AA6" s="524" t="s">
        <v>720</v>
      </c>
      <c r="AB6" s="524" t="s">
        <v>719</v>
      </c>
      <c r="AC6" s="524" t="s">
        <v>720</v>
      </c>
      <c r="AD6" s="524" t="s">
        <v>719</v>
      </c>
      <c r="AE6" s="524" t="s">
        <v>720</v>
      </c>
      <c r="AF6" s="524" t="s">
        <v>719</v>
      </c>
      <c r="AG6" s="524" t="s">
        <v>720</v>
      </c>
      <c r="AH6" s="524" t="s">
        <v>719</v>
      </c>
      <c r="AI6" s="524" t="s">
        <v>720</v>
      </c>
      <c r="AJ6" s="524" t="s">
        <v>719</v>
      </c>
      <c r="AK6" s="524" t="s">
        <v>720</v>
      </c>
      <c r="AL6" s="524" t="s">
        <v>719</v>
      </c>
      <c r="AM6" s="524" t="s">
        <v>720</v>
      </c>
      <c r="AN6" s="524" t="s">
        <v>719</v>
      </c>
      <c r="AO6" s="524" t="s">
        <v>721</v>
      </c>
      <c r="AP6" s="524" t="s">
        <v>719</v>
      </c>
      <c r="AQ6" s="524" t="s">
        <v>721</v>
      </c>
      <c r="AR6" s="524" t="s">
        <v>719</v>
      </c>
      <c r="AS6" s="524" t="s">
        <v>721</v>
      </c>
      <c r="AT6" s="524" t="s">
        <v>719</v>
      </c>
      <c r="AU6" s="524" t="s">
        <v>721</v>
      </c>
      <c r="AV6" s="524" t="s">
        <v>719</v>
      </c>
      <c r="AW6" s="524" t="s">
        <v>720</v>
      </c>
      <c r="AX6" s="524" t="s">
        <v>719</v>
      </c>
      <c r="AY6" s="524" t="s">
        <v>720</v>
      </c>
      <c r="AZ6" s="526" t="s">
        <v>719</v>
      </c>
      <c r="BA6" s="526" t="s">
        <v>720</v>
      </c>
      <c r="BB6" s="524" t="s">
        <v>719</v>
      </c>
      <c r="BC6" s="524" t="s">
        <v>720</v>
      </c>
      <c r="BD6" s="524" t="s">
        <v>719</v>
      </c>
      <c r="BE6" s="524" t="s">
        <v>720</v>
      </c>
      <c r="BF6" s="524" t="s">
        <v>719</v>
      </c>
      <c r="BG6" s="524" t="s">
        <v>720</v>
      </c>
      <c r="BH6" s="524" t="s">
        <v>719</v>
      </c>
      <c r="BI6" s="524" t="s">
        <v>720</v>
      </c>
      <c r="BJ6" s="524" t="s">
        <v>719</v>
      </c>
      <c r="BK6" s="524" t="s">
        <v>720</v>
      </c>
      <c r="BL6" s="524" t="s">
        <v>719</v>
      </c>
      <c r="BM6" s="524" t="s">
        <v>720</v>
      </c>
      <c r="BN6" s="524" t="s">
        <v>719</v>
      </c>
      <c r="BO6" s="524" t="s">
        <v>720</v>
      </c>
      <c r="BP6" s="524" t="s">
        <v>719</v>
      </c>
      <c r="BQ6" s="524" t="s">
        <v>720</v>
      </c>
      <c r="BR6" s="527" t="s">
        <v>722</v>
      </c>
    </row>
    <row r="7" spans="1:70" ht="15" x14ac:dyDescent="0.2">
      <c r="A7" s="444" t="s">
        <v>704</v>
      </c>
      <c r="B7" s="528"/>
      <c r="C7" s="529"/>
      <c r="D7" s="528"/>
      <c r="E7" s="529"/>
      <c r="F7" s="528"/>
      <c r="G7" s="529"/>
      <c r="H7" s="528"/>
      <c r="I7" s="530"/>
      <c r="J7" s="528"/>
      <c r="K7" s="530"/>
      <c r="L7" s="528"/>
      <c r="M7" s="530"/>
      <c r="N7" s="528"/>
      <c r="O7" s="530"/>
      <c r="P7" s="528"/>
      <c r="Q7" s="530"/>
      <c r="R7" s="528"/>
      <c r="S7" s="530"/>
      <c r="T7" s="528"/>
      <c r="U7" s="530"/>
      <c r="V7" s="528"/>
      <c r="W7" s="530"/>
      <c r="X7" s="528"/>
      <c r="Y7" s="530"/>
      <c r="Z7" s="528"/>
      <c r="AA7" s="530"/>
      <c r="AB7" s="528"/>
      <c r="AC7" s="530"/>
      <c r="AD7" s="528"/>
      <c r="AE7" s="530"/>
      <c r="AF7" s="528"/>
      <c r="AG7" s="530"/>
      <c r="AH7" s="528"/>
      <c r="AI7" s="530"/>
      <c r="AJ7" s="528"/>
      <c r="AK7" s="530"/>
      <c r="AL7" s="528"/>
      <c r="AM7" s="530"/>
      <c r="AN7" s="528"/>
      <c r="AO7" s="529"/>
      <c r="AP7" s="528"/>
      <c r="AQ7" s="529"/>
      <c r="AR7" s="528"/>
      <c r="AS7" s="529"/>
      <c r="AT7" s="528"/>
      <c r="AU7" s="529"/>
      <c r="AV7" s="528"/>
      <c r="AW7" s="529"/>
      <c r="AX7" s="528"/>
      <c r="AY7" s="529"/>
      <c r="AZ7" s="531"/>
      <c r="BA7" s="532"/>
      <c r="BB7" s="431"/>
      <c r="BC7" s="529"/>
      <c r="BD7" s="431"/>
      <c r="BE7" s="431"/>
      <c r="BF7" s="431"/>
      <c r="BG7" s="431"/>
      <c r="BH7" s="528"/>
      <c r="BI7" s="529"/>
      <c r="BJ7" s="528"/>
      <c r="BK7" s="529"/>
      <c r="BL7" s="528"/>
      <c r="BM7" s="529"/>
      <c r="BN7" s="528"/>
      <c r="BO7" s="529"/>
      <c r="BP7" s="528"/>
      <c r="BQ7" s="529"/>
      <c r="BR7" s="533"/>
    </row>
    <row r="8" spans="1:70" x14ac:dyDescent="0.2">
      <c r="A8" s="469" t="s">
        <v>705</v>
      </c>
      <c r="B8" s="534">
        <v>392</v>
      </c>
      <c r="C8" s="535">
        <f>ROUND(B8*C$45, 0)</f>
        <v>2542</v>
      </c>
      <c r="D8" s="534">
        <v>525</v>
      </c>
      <c r="E8" s="535">
        <f>ROUND(D8*E$45, 0)</f>
        <v>2014</v>
      </c>
      <c r="F8" s="534">
        <v>555</v>
      </c>
      <c r="G8" s="535">
        <f>ROUND(F8*G$45, 0)</f>
        <v>1858</v>
      </c>
      <c r="H8" s="534">
        <v>1327.5</v>
      </c>
      <c r="I8" s="535">
        <f>ROUND(H8*I$45, 0)</f>
        <v>2823</v>
      </c>
      <c r="J8" s="534">
        <v>1447.5</v>
      </c>
      <c r="K8" s="535">
        <f>ROUND(J8*K$45, 0)</f>
        <v>2848</v>
      </c>
      <c r="L8" s="534"/>
      <c r="M8" s="535">
        <f>ROUND(L8*M$45, 0)</f>
        <v>0</v>
      </c>
      <c r="N8" s="534"/>
      <c r="O8" s="535">
        <f>ROUND(N8*O$45, 0)</f>
        <v>0</v>
      </c>
      <c r="P8" s="534"/>
      <c r="Q8" s="535">
        <f>ROUND(P8*Q$45, 0)</f>
        <v>0</v>
      </c>
      <c r="R8" s="534"/>
      <c r="S8" s="535">
        <f>ROUND(R8*S$45, 0)</f>
        <v>0</v>
      </c>
      <c r="T8" s="534"/>
      <c r="U8" s="535">
        <f>ROUND(T8*U$45, 0)</f>
        <v>0</v>
      </c>
      <c r="V8" s="534"/>
      <c r="W8" s="535">
        <f>ROUND(V8*W$45, 0)</f>
        <v>0</v>
      </c>
      <c r="X8" s="534"/>
      <c r="Y8" s="535">
        <f>ROUND(X8*Y$45, 0)</f>
        <v>0</v>
      </c>
      <c r="Z8" s="534"/>
      <c r="AA8" s="535">
        <f>ROUND(Z8*AA$45, 0)</f>
        <v>0</v>
      </c>
      <c r="AB8" s="471">
        <v>2211</v>
      </c>
      <c r="AC8" s="535">
        <f>ROUND(AB8*AC$45, 0)</f>
        <v>3414</v>
      </c>
      <c r="AD8" s="536">
        <v>2278.4</v>
      </c>
      <c r="AE8" s="535">
        <f>ROUND(AD8*AE$45, 0)</f>
        <v>3444</v>
      </c>
      <c r="AF8" s="534"/>
      <c r="AG8" s="535">
        <f>ROUND(AF8*AG$45, 0)</f>
        <v>0</v>
      </c>
      <c r="AH8" s="534"/>
      <c r="AI8" s="535">
        <f>ROUND(AH8*AI$45, 0)</f>
        <v>0</v>
      </c>
      <c r="AJ8" s="537">
        <v>2742.4</v>
      </c>
      <c r="AK8" s="535">
        <f>ROUND(AJ8*AK$45, 0)</f>
        <v>3837</v>
      </c>
      <c r="AL8" s="538">
        <v>3058</v>
      </c>
      <c r="AM8" s="535">
        <f>ROUND(AL8*AM$45, 0)</f>
        <v>4191</v>
      </c>
      <c r="AN8" s="534">
        <v>3364</v>
      </c>
      <c r="AO8" s="535">
        <f>ROUND(AN8*AO$45, 0)</f>
        <v>4476</v>
      </c>
      <c r="AP8" s="534">
        <v>3628.76</v>
      </c>
      <c r="AQ8" s="535">
        <f>ROUND(AP8*AQ$45, 0)</f>
        <v>4680</v>
      </c>
      <c r="AR8" s="534">
        <v>3972</v>
      </c>
      <c r="AS8" s="535">
        <f>ROUND(AR8*AS$45, 0)</f>
        <v>4919</v>
      </c>
      <c r="AT8" s="534">
        <v>4269.5200000000004</v>
      </c>
      <c r="AU8" s="535">
        <f>ROUND(AT8*AU$45, 0)</f>
        <v>5165</v>
      </c>
      <c r="AV8" s="475">
        <v>4526</v>
      </c>
      <c r="AW8" s="535">
        <f>ROUND(AV8*AW$45, 0)</f>
        <v>5185</v>
      </c>
      <c r="AX8" s="534">
        <v>4955.8</v>
      </c>
      <c r="AY8" s="535">
        <f>ROUND(AX8*AY$45, 0)</f>
        <v>5799</v>
      </c>
      <c r="AZ8" s="536">
        <v>5426.72</v>
      </c>
      <c r="BA8" s="535">
        <v>5427</v>
      </c>
      <c r="BB8" s="536">
        <v>5849.98</v>
      </c>
      <c r="BC8" s="535">
        <f>ROUND(BB8*BC$45, 0)</f>
        <v>6525</v>
      </c>
      <c r="BD8" s="536"/>
      <c r="BE8" s="536">
        <f>ROUND(BD8*BE$45, 0)</f>
        <v>0</v>
      </c>
      <c r="BF8" s="536">
        <v>6511</v>
      </c>
      <c r="BG8" s="536">
        <f>ROUND(BF8*BG$45, 0)</f>
        <v>7024</v>
      </c>
      <c r="BH8" s="534">
        <v>6888.68</v>
      </c>
      <c r="BI8" s="535">
        <f>ROUND(BH8*BI$45, 0)</f>
        <v>7286</v>
      </c>
      <c r="BJ8" s="534">
        <v>7129.68</v>
      </c>
      <c r="BK8" s="535">
        <v>7130</v>
      </c>
      <c r="BL8" s="534">
        <v>7407.7</v>
      </c>
      <c r="BM8" s="535">
        <f>ROUND(BL8*BM$45, 0)</f>
        <v>7757</v>
      </c>
      <c r="BN8" s="534">
        <v>7696.72</v>
      </c>
      <c r="BO8" s="535">
        <f>ROUND(BN8*BO$45, 0)</f>
        <v>7924</v>
      </c>
      <c r="BP8" s="534">
        <v>7996.82</v>
      </c>
      <c r="BQ8" s="535">
        <f>ROUND(BP8*BQ$45, 0)</f>
        <v>7997</v>
      </c>
      <c r="BR8" s="539">
        <f>(BQ8-AW8)/BQ8</f>
        <v>0.3516318619482306</v>
      </c>
    </row>
    <row r="9" spans="1:70" x14ac:dyDescent="0.2">
      <c r="A9" s="444" t="s">
        <v>706</v>
      </c>
      <c r="B9" s="540">
        <v>977</v>
      </c>
      <c r="C9" s="541">
        <f>ROUND(B9*C$45, 0)</f>
        <v>6336</v>
      </c>
      <c r="D9" s="540">
        <v>1546.5</v>
      </c>
      <c r="E9" s="541">
        <f>ROUND(D9*E$45, 0)</f>
        <v>5932</v>
      </c>
      <c r="F9" s="540">
        <v>1665</v>
      </c>
      <c r="G9" s="541">
        <f>ROUND(F9*G$45, 0)</f>
        <v>5575</v>
      </c>
      <c r="H9" s="540">
        <v>4258.5</v>
      </c>
      <c r="I9" s="541">
        <f>ROUND(H9*I$45, 0)</f>
        <v>9056</v>
      </c>
      <c r="J9" s="540">
        <v>4650</v>
      </c>
      <c r="K9" s="541">
        <f>ROUND(J9*K$45, 0)</f>
        <v>9150</v>
      </c>
      <c r="L9" s="540"/>
      <c r="M9" s="541">
        <f>ROUND(L9*M$45, 0)</f>
        <v>0</v>
      </c>
      <c r="N9" s="540"/>
      <c r="O9" s="541">
        <f>ROUND(N9*O$45, 0)</f>
        <v>0</v>
      </c>
      <c r="P9" s="540"/>
      <c r="Q9" s="541">
        <f>ROUND(P9*Q$45, 0)</f>
        <v>0</v>
      </c>
      <c r="R9" s="540"/>
      <c r="S9" s="541">
        <f>ROUND(R9*S$45, 0)</f>
        <v>0</v>
      </c>
      <c r="T9" s="540"/>
      <c r="U9" s="541">
        <f>ROUND(T9*U$45, 0)</f>
        <v>0</v>
      </c>
      <c r="V9" s="540"/>
      <c r="W9" s="541">
        <f>ROUND(V9*W$45, 0)</f>
        <v>0</v>
      </c>
      <c r="X9" s="540"/>
      <c r="Y9" s="541">
        <f>ROUND(X9*Y$45, 0)</f>
        <v>0</v>
      </c>
      <c r="Z9" s="540"/>
      <c r="AA9" s="541">
        <f>ROUND(Z9*AA$45, 0)</f>
        <v>0</v>
      </c>
      <c r="AB9" s="486">
        <v>7751.4</v>
      </c>
      <c r="AC9" s="541">
        <f>ROUND(AB9*AC$45, 0)</f>
        <v>11969</v>
      </c>
      <c r="AD9" s="542">
        <v>7983.4</v>
      </c>
      <c r="AE9" s="541">
        <f>ROUND(AD9*AE$45, 0)</f>
        <v>12069</v>
      </c>
      <c r="AF9" s="540"/>
      <c r="AG9" s="541">
        <f>ROUND(AF9*AG$45, 0)</f>
        <v>0</v>
      </c>
      <c r="AH9" s="540"/>
      <c r="AI9" s="541">
        <f>ROUND(AH9*AI$45, 0)</f>
        <v>0</v>
      </c>
      <c r="AJ9" s="537">
        <v>9599.7999999999993</v>
      </c>
      <c r="AK9" s="541">
        <f>ROUND(AJ9*AK$45, 0)</f>
        <v>13433</v>
      </c>
      <c r="AL9" s="540">
        <v>10704</v>
      </c>
      <c r="AM9" s="541">
        <f>ROUND(AL9*AM$45, 0)</f>
        <v>14668</v>
      </c>
      <c r="AN9" s="543">
        <v>11774</v>
      </c>
      <c r="AO9" s="541">
        <f>ROUND(AN9*AO$45, 0)</f>
        <v>15666</v>
      </c>
      <c r="AP9" s="543">
        <v>12701</v>
      </c>
      <c r="AQ9" s="541">
        <f>ROUND(AP9*AQ$45, 0)</f>
        <v>16380</v>
      </c>
      <c r="AR9" s="543">
        <v>13902</v>
      </c>
      <c r="AS9" s="541">
        <f>ROUND(AR9*AS$45, 0)</f>
        <v>17216</v>
      </c>
      <c r="AT9" s="544">
        <v>14945</v>
      </c>
      <c r="AU9" s="541">
        <f>ROUND(AT9*AU$45, 0)</f>
        <v>18081</v>
      </c>
      <c r="AV9" s="489">
        <v>15842</v>
      </c>
      <c r="AW9" s="541">
        <f>ROUND(AV9*AW$45, 0)</f>
        <v>18150</v>
      </c>
      <c r="AX9" s="543">
        <v>17346.400000000001</v>
      </c>
      <c r="AY9" s="541">
        <f>ROUND(AX9*AY$45, 0)</f>
        <v>20299</v>
      </c>
      <c r="AZ9" s="545">
        <v>18994.22</v>
      </c>
      <c r="BA9" s="541">
        <v>18994</v>
      </c>
      <c r="BB9" s="545">
        <v>20475.7</v>
      </c>
      <c r="BC9" s="541">
        <f>ROUND(BB9*BC$45, 0)</f>
        <v>22840</v>
      </c>
      <c r="BD9" s="545"/>
      <c r="BE9" s="545">
        <f>ROUND(BD9*BE$45, 0)</f>
        <v>0</v>
      </c>
      <c r="BF9" s="545">
        <v>23073</v>
      </c>
      <c r="BG9" s="545">
        <f>ROUND(BF9*BG$45, 0)</f>
        <v>24891</v>
      </c>
      <c r="BH9" s="543">
        <v>24111.24</v>
      </c>
      <c r="BI9" s="541">
        <f>ROUND(BH9*BI$45, 0)</f>
        <v>25503</v>
      </c>
      <c r="BJ9" s="543">
        <v>24955</v>
      </c>
      <c r="BK9" s="541">
        <v>24955</v>
      </c>
      <c r="BL9" s="543">
        <v>25929</v>
      </c>
      <c r="BM9" s="541">
        <f>ROUND(BL9*BM$45, 0)</f>
        <v>27153</v>
      </c>
      <c r="BN9" s="544">
        <v>26939.7</v>
      </c>
      <c r="BO9" s="541">
        <f>ROUND(BN9*BO$45, 0)</f>
        <v>27734</v>
      </c>
      <c r="BP9" s="534">
        <v>27990</v>
      </c>
      <c r="BQ9" s="541">
        <f>ROUND(BP9*BQ$45, 0)</f>
        <v>27990</v>
      </c>
      <c r="BR9" s="539">
        <f>(BQ9-AW9)/BQ9</f>
        <v>0.35155412647374062</v>
      </c>
    </row>
    <row r="10" spans="1:70" ht="8.1" customHeight="1" x14ac:dyDescent="0.2">
      <c r="A10" s="444"/>
      <c r="B10" s="540"/>
      <c r="C10" s="546"/>
      <c r="D10" s="540"/>
      <c r="E10" s="546"/>
      <c r="F10" s="540"/>
      <c r="G10" s="546"/>
      <c r="H10" s="540"/>
      <c r="I10" s="546"/>
      <c r="J10" s="540"/>
      <c r="K10" s="546"/>
      <c r="L10" s="540"/>
      <c r="M10" s="546"/>
      <c r="N10" s="540"/>
      <c r="O10" s="546"/>
      <c r="P10" s="540"/>
      <c r="Q10" s="546"/>
      <c r="R10" s="540"/>
      <c r="S10" s="546"/>
      <c r="T10" s="540"/>
      <c r="U10" s="546"/>
      <c r="V10" s="540"/>
      <c r="W10" s="546"/>
      <c r="X10" s="540"/>
      <c r="Y10" s="546"/>
      <c r="Z10" s="540"/>
      <c r="AA10" s="546"/>
      <c r="AB10" s="486"/>
      <c r="AC10" s="546"/>
      <c r="AD10" s="542"/>
      <c r="AE10" s="546"/>
      <c r="AF10" s="540"/>
      <c r="AG10" s="546"/>
      <c r="AH10" s="540"/>
      <c r="AI10" s="546"/>
      <c r="AJ10" s="537"/>
      <c r="AK10" s="546"/>
      <c r="AL10" s="540"/>
      <c r="AM10" s="546"/>
      <c r="AN10" s="547"/>
      <c r="AO10" s="546"/>
      <c r="AP10" s="547"/>
      <c r="AQ10" s="546"/>
      <c r="AR10" s="547"/>
      <c r="AS10" s="546"/>
      <c r="AT10" s="544"/>
      <c r="AU10" s="546"/>
      <c r="AV10" s="489"/>
      <c r="AW10" s="546"/>
      <c r="AX10" s="547"/>
      <c r="AY10" s="546"/>
      <c r="AZ10" s="542"/>
      <c r="BA10" s="546"/>
      <c r="BB10" s="542"/>
      <c r="BC10" s="546"/>
      <c r="BD10" s="542"/>
      <c r="BE10" s="542"/>
      <c r="BF10" s="542"/>
      <c r="BG10" s="542"/>
      <c r="BH10" s="547"/>
      <c r="BI10" s="546"/>
      <c r="BJ10" s="547"/>
      <c r="BK10" s="546"/>
      <c r="BL10" s="547"/>
      <c r="BM10" s="546"/>
      <c r="BN10" s="547"/>
      <c r="BO10" s="546"/>
      <c r="BP10" s="547"/>
      <c r="BQ10" s="546"/>
      <c r="BR10" s="539"/>
    </row>
    <row r="11" spans="1:70" ht="15" x14ac:dyDescent="0.2">
      <c r="A11" s="444" t="s">
        <v>723</v>
      </c>
      <c r="B11" s="540"/>
      <c r="C11" s="546"/>
      <c r="D11" s="540"/>
      <c r="E11" s="546"/>
      <c r="F11" s="540"/>
      <c r="G11" s="546"/>
      <c r="H11" s="540"/>
      <c r="I11" s="546"/>
      <c r="J11" s="540"/>
      <c r="K11" s="546"/>
      <c r="L11" s="540"/>
      <c r="M11" s="546"/>
      <c r="N11" s="540"/>
      <c r="O11" s="546"/>
      <c r="P11" s="540"/>
      <c r="Q11" s="546"/>
      <c r="R11" s="540"/>
      <c r="S11" s="546"/>
      <c r="T11" s="540"/>
      <c r="U11" s="546"/>
      <c r="V11" s="540"/>
      <c r="W11" s="546"/>
      <c r="X11" s="540"/>
      <c r="Y11" s="546"/>
      <c r="Z11" s="540"/>
      <c r="AA11" s="546"/>
      <c r="AB11" s="486"/>
      <c r="AC11" s="546"/>
      <c r="AD11" s="542"/>
      <c r="AE11" s="546"/>
      <c r="AF11" s="540"/>
      <c r="AG11" s="546"/>
      <c r="AH11" s="540"/>
      <c r="AI11" s="546"/>
      <c r="AJ11" s="537"/>
      <c r="AK11" s="546"/>
      <c r="AL11" s="540"/>
      <c r="AM11" s="546"/>
      <c r="AN11" s="547"/>
      <c r="AO11" s="546"/>
      <c r="AP11" s="547"/>
      <c r="AQ11" s="546"/>
      <c r="AR11" s="547"/>
      <c r="AS11" s="546"/>
      <c r="AT11" s="544"/>
      <c r="AU11" s="546"/>
      <c r="AV11" s="489"/>
      <c r="AW11" s="546"/>
      <c r="AX11" s="547"/>
      <c r="AY11" s="546"/>
      <c r="AZ11" s="542"/>
      <c r="BA11" s="546"/>
      <c r="BB11" s="542"/>
      <c r="BC11" s="546"/>
      <c r="BD11" s="542"/>
      <c r="BE11" s="542"/>
      <c r="BF11" s="542"/>
      <c r="BG11" s="542"/>
      <c r="BH11" s="547"/>
      <c r="BI11" s="546"/>
      <c r="BJ11" s="547"/>
      <c r="BK11" s="546"/>
      <c r="BL11" s="547"/>
      <c r="BM11" s="546"/>
      <c r="BN11" s="547"/>
      <c r="BO11" s="546"/>
      <c r="BP11" s="547"/>
      <c r="BQ11" s="546"/>
      <c r="BR11" s="539"/>
    </row>
    <row r="12" spans="1:70" x14ac:dyDescent="0.2">
      <c r="A12" s="444" t="s">
        <v>705</v>
      </c>
      <c r="B12" s="540">
        <v>345</v>
      </c>
      <c r="C12" s="541">
        <f>ROUND(B12*C$45, 0)</f>
        <v>2237</v>
      </c>
      <c r="D12" s="540">
        <v>462</v>
      </c>
      <c r="E12" s="541">
        <f>ROUND(D12*E$45, 0)</f>
        <v>1772</v>
      </c>
      <c r="F12" s="540">
        <v>501</v>
      </c>
      <c r="G12" s="541">
        <f>ROUND(F12*G$45, 0)</f>
        <v>1678</v>
      </c>
      <c r="H12" s="540">
        <v>1095</v>
      </c>
      <c r="I12" s="541">
        <f>ROUND(H12*I$45, 0)</f>
        <v>2329</v>
      </c>
      <c r="J12" s="540">
        <v>1197</v>
      </c>
      <c r="K12" s="541">
        <f>ROUND(J12*K$45, 0)</f>
        <v>2355</v>
      </c>
      <c r="L12" s="540"/>
      <c r="M12" s="541">
        <f>ROUND(L12*M$45, 0)</f>
        <v>0</v>
      </c>
      <c r="N12" s="540"/>
      <c r="O12" s="541">
        <f>ROUND(N12*O$45, 0)</f>
        <v>0</v>
      </c>
      <c r="P12" s="540"/>
      <c r="Q12" s="541">
        <f>ROUND(P12*Q$45, 0)</f>
        <v>0</v>
      </c>
      <c r="R12" s="540"/>
      <c r="S12" s="541">
        <f>ROUND(R12*S$45, 0)</f>
        <v>0</v>
      </c>
      <c r="T12" s="540"/>
      <c r="U12" s="541">
        <f>ROUND(T12*U$45, 0)</f>
        <v>0</v>
      </c>
      <c r="V12" s="540"/>
      <c r="W12" s="541">
        <f>ROUND(V12*W$45, 0)</f>
        <v>0</v>
      </c>
      <c r="X12" s="540"/>
      <c r="Y12" s="541">
        <f>ROUND(X12*Y$45, 0)</f>
        <v>0</v>
      </c>
      <c r="Z12" s="540"/>
      <c r="AA12" s="541">
        <f>ROUND(Z12*AA$45, 0)</f>
        <v>0</v>
      </c>
      <c r="AB12" s="486">
        <v>1815.24</v>
      </c>
      <c r="AC12" s="541">
        <f>ROUND(AB12*AC$45, 0)</f>
        <v>2803</v>
      </c>
      <c r="AD12" s="542">
        <v>1870.5</v>
      </c>
      <c r="AE12" s="541">
        <f>ROUND(AD12*AE$45, 0)</f>
        <v>2828</v>
      </c>
      <c r="AF12" s="540"/>
      <c r="AG12" s="541">
        <f>ROUND(AF12*AG$45, 0)</f>
        <v>0</v>
      </c>
      <c r="AH12" s="540"/>
      <c r="AI12" s="541">
        <f>ROUND(AH12*AI$45, 0)</f>
        <v>0</v>
      </c>
      <c r="AJ12" s="537">
        <v>2387.92</v>
      </c>
      <c r="AK12" s="541">
        <f>ROUND(AJ12*AK$45, 0)</f>
        <v>3341</v>
      </c>
      <c r="AL12" s="540">
        <v>2545</v>
      </c>
      <c r="AM12" s="541">
        <f>ROUND(AL12*AM$45, 0)</f>
        <v>3488</v>
      </c>
      <c r="AN12" s="543">
        <v>2723</v>
      </c>
      <c r="AO12" s="541">
        <f>ROUND(AN12*AO$45, 0)</f>
        <v>3623</v>
      </c>
      <c r="AP12" s="543">
        <v>3128</v>
      </c>
      <c r="AQ12" s="541">
        <f>ROUND(AP12*AQ$45, 0)</f>
        <v>4034</v>
      </c>
      <c r="AR12" s="543">
        <v>3378</v>
      </c>
      <c r="AS12" s="541">
        <f>ROUND(AR12*AS$45, 0)</f>
        <v>4183</v>
      </c>
      <c r="AT12" s="544">
        <v>3614.8</v>
      </c>
      <c r="AU12" s="541">
        <f>ROUND(AT12*AU$45, 0)</f>
        <v>4373</v>
      </c>
      <c r="AV12" s="489">
        <v>3832</v>
      </c>
      <c r="AW12" s="541">
        <f>ROUND(AV12*AW$45, 0)</f>
        <v>4390</v>
      </c>
      <c r="AX12" s="543">
        <v>4042.72</v>
      </c>
      <c r="AY12" s="541">
        <f>ROUND(AX12*AY$45, 0)</f>
        <v>4731</v>
      </c>
      <c r="AZ12" s="545">
        <v>4345.8999999999996</v>
      </c>
      <c r="BA12" s="541">
        <v>4346</v>
      </c>
      <c r="BB12" s="545">
        <v>4737.2</v>
      </c>
      <c r="BC12" s="541">
        <f>ROUND(BB12*BC$45, 0)</f>
        <v>5284</v>
      </c>
      <c r="BD12" s="545"/>
      <c r="BE12" s="545">
        <f>ROUND(BD12*BE$45, 0)</f>
        <v>0</v>
      </c>
      <c r="BF12" s="545">
        <v>5273</v>
      </c>
      <c r="BG12" s="545">
        <f>ROUND(BF12*BG$45, 0)</f>
        <v>5689</v>
      </c>
      <c r="BH12" s="543">
        <v>5453.66</v>
      </c>
      <c r="BI12" s="541">
        <f>ROUND(BH12*BI$45, 0)</f>
        <v>5769</v>
      </c>
      <c r="BJ12" s="543">
        <v>5617.28</v>
      </c>
      <c r="BK12" s="541">
        <v>5617</v>
      </c>
      <c r="BL12" s="543">
        <v>5813.88</v>
      </c>
      <c r="BM12" s="541">
        <f>ROUND(BL12*BM$45, 0)</f>
        <v>6088</v>
      </c>
      <c r="BN12" s="543">
        <v>6104.5</v>
      </c>
      <c r="BO12" s="541">
        <f>ROUND(BN12*BO$45, 0)</f>
        <v>6285</v>
      </c>
      <c r="BP12" s="543">
        <v>6342.44</v>
      </c>
      <c r="BQ12" s="541">
        <f>ROUND(BP12*BQ$45, 0)</f>
        <v>6342</v>
      </c>
      <c r="BR12" s="539">
        <f>(BQ12-AW12)/BQ12</f>
        <v>0.30778934090192367</v>
      </c>
    </row>
    <row r="13" spans="1:70" x14ac:dyDescent="0.2">
      <c r="A13" s="444" t="s">
        <v>708</v>
      </c>
      <c r="B13" s="540">
        <v>855</v>
      </c>
      <c r="C13" s="541">
        <f>ROUND(B13*C$45, 0)</f>
        <v>5545</v>
      </c>
      <c r="D13" s="540">
        <v>1431</v>
      </c>
      <c r="E13" s="541">
        <f>ROUND(D13*E$45, 0)</f>
        <v>5489</v>
      </c>
      <c r="F13" s="540">
        <v>1551</v>
      </c>
      <c r="G13" s="541">
        <f>ROUND(F13*G$45, 0)</f>
        <v>5194</v>
      </c>
      <c r="H13" s="540">
        <v>3531</v>
      </c>
      <c r="I13" s="541">
        <f>ROUND(H13*I$45, 0)</f>
        <v>7509</v>
      </c>
      <c r="J13" s="540">
        <v>3828</v>
      </c>
      <c r="K13" s="541">
        <f>ROUND(J13*K$45, 0)</f>
        <v>7532</v>
      </c>
      <c r="L13" s="540"/>
      <c r="M13" s="541">
        <f>ROUND(L13*M$45, 0)</f>
        <v>0</v>
      </c>
      <c r="N13" s="540"/>
      <c r="O13" s="541">
        <f>ROUND(N13*O$45, 0)</f>
        <v>0</v>
      </c>
      <c r="P13" s="540"/>
      <c r="Q13" s="541">
        <f>ROUND(P13*Q$45, 0)</f>
        <v>0</v>
      </c>
      <c r="R13" s="540"/>
      <c r="S13" s="541">
        <f>ROUND(R13*S$45, 0)</f>
        <v>0</v>
      </c>
      <c r="T13" s="540"/>
      <c r="U13" s="541">
        <f>ROUND(T13*U$45, 0)</f>
        <v>0</v>
      </c>
      <c r="V13" s="540"/>
      <c r="W13" s="541">
        <f>ROUND(V13*W$45, 0)</f>
        <v>0</v>
      </c>
      <c r="X13" s="540"/>
      <c r="Y13" s="541">
        <f>ROUND(X13*Y$45, 0)</f>
        <v>0</v>
      </c>
      <c r="Z13" s="540"/>
      <c r="AA13" s="541">
        <f>ROUND(Z13*AA$45, 0)</f>
        <v>0</v>
      </c>
      <c r="AB13" s="486">
        <v>6371.76</v>
      </c>
      <c r="AC13" s="541">
        <f>ROUND(AB13*AC$45, 0)</f>
        <v>9839</v>
      </c>
      <c r="AD13" s="542">
        <v>6560.38</v>
      </c>
      <c r="AE13" s="541">
        <f>ROUND(AD13*AE$45, 0)</f>
        <v>9918</v>
      </c>
      <c r="AF13" s="540"/>
      <c r="AG13" s="541">
        <f>ROUND(AF13*AG$45, 0)</f>
        <v>0</v>
      </c>
      <c r="AH13" s="540"/>
      <c r="AI13" s="541">
        <f>ROUND(AH13*AI$45, 0)</f>
        <v>0</v>
      </c>
      <c r="AJ13" s="537">
        <v>7689.26</v>
      </c>
      <c r="AK13" s="541">
        <f>ROUND(AJ13*AK$45, 0)</f>
        <v>10759</v>
      </c>
      <c r="AL13" s="540">
        <v>8420</v>
      </c>
      <c r="AM13" s="541">
        <f>ROUND(AL13*AM$45, 0)</f>
        <v>11538</v>
      </c>
      <c r="AN13" s="543">
        <v>9009</v>
      </c>
      <c r="AO13" s="541">
        <f>ROUND(AN13*AO$45, 0)</f>
        <v>11987</v>
      </c>
      <c r="AP13" s="543">
        <v>10072</v>
      </c>
      <c r="AQ13" s="541">
        <f>ROUND(AP13*AQ$45, 0)</f>
        <v>12990</v>
      </c>
      <c r="AR13" s="543">
        <v>10878</v>
      </c>
      <c r="AS13" s="541">
        <f>ROUND(AR13*AS$45, 0)</f>
        <v>13471</v>
      </c>
      <c r="AT13" s="544">
        <v>11639</v>
      </c>
      <c r="AU13" s="541">
        <f>ROUND(AT13*AU$45, 0)</f>
        <v>14081</v>
      </c>
      <c r="AV13" s="489">
        <v>12338</v>
      </c>
      <c r="AW13" s="541">
        <f>ROUND(AV13*AW$45, 0)</f>
        <v>14135</v>
      </c>
      <c r="AX13" s="543">
        <v>13016.72</v>
      </c>
      <c r="AY13" s="541">
        <f>ROUND(AX13*AY$45, 0)</f>
        <v>15232</v>
      </c>
      <c r="AZ13" s="545">
        <v>13993.06</v>
      </c>
      <c r="BA13" s="541">
        <v>13993</v>
      </c>
      <c r="BB13" s="545">
        <v>15252.54</v>
      </c>
      <c r="BC13" s="541">
        <f>ROUND(BB13*BC$45, 0)</f>
        <v>17014</v>
      </c>
      <c r="BD13" s="545"/>
      <c r="BE13" s="545">
        <f>ROUND(BD13*BE$45, 0)</f>
        <v>0</v>
      </c>
      <c r="BF13" s="545">
        <v>16976</v>
      </c>
      <c r="BG13" s="545">
        <f>ROUND(BF13*BG$45, 0)</f>
        <v>18314</v>
      </c>
      <c r="BH13" s="543">
        <v>17560.5</v>
      </c>
      <c r="BI13" s="541">
        <f>ROUND(BH13*BI$45, 0)</f>
        <v>18574</v>
      </c>
      <c r="BJ13" s="543">
        <v>18087</v>
      </c>
      <c r="BK13" s="541">
        <v>18087</v>
      </c>
      <c r="BL13" s="543">
        <v>18720</v>
      </c>
      <c r="BM13" s="541">
        <f>ROUND(BL13*BM$45, 0)</f>
        <v>19604</v>
      </c>
      <c r="BN13" s="543">
        <v>19656.560000000001</v>
      </c>
      <c r="BO13" s="541">
        <f>ROUND(BN13*BO$45, 0)</f>
        <v>20236</v>
      </c>
      <c r="BP13" s="543">
        <v>20423</v>
      </c>
      <c r="BQ13" s="541">
        <f>ROUND(BP13*BQ$45, 0)</f>
        <v>20423</v>
      </c>
      <c r="BR13" s="539">
        <f>(BQ13-AW13)/BQ13</f>
        <v>0.30788816530382412</v>
      </c>
    </row>
    <row r="14" spans="1:70" ht="8.1" customHeight="1" x14ac:dyDescent="0.2">
      <c r="A14" s="444"/>
      <c r="B14" s="540"/>
      <c r="C14" s="546"/>
      <c r="D14" s="540"/>
      <c r="E14" s="546"/>
      <c r="F14" s="540"/>
      <c r="G14" s="546"/>
      <c r="H14" s="540"/>
      <c r="I14" s="546"/>
      <c r="J14" s="540"/>
      <c r="K14" s="546"/>
      <c r="L14" s="540"/>
      <c r="M14" s="546"/>
      <c r="N14" s="540"/>
      <c r="O14" s="546"/>
      <c r="P14" s="540"/>
      <c r="Q14" s="546"/>
      <c r="R14" s="540"/>
      <c r="S14" s="546"/>
      <c r="T14" s="540"/>
      <c r="U14" s="546"/>
      <c r="V14" s="540"/>
      <c r="W14" s="546"/>
      <c r="X14" s="540"/>
      <c r="Y14" s="546"/>
      <c r="Z14" s="540"/>
      <c r="AA14" s="546"/>
      <c r="AB14" s="486"/>
      <c r="AC14" s="546"/>
      <c r="AD14" s="542"/>
      <c r="AE14" s="546"/>
      <c r="AF14" s="540"/>
      <c r="AG14" s="546"/>
      <c r="AH14" s="540"/>
      <c r="AI14" s="546"/>
      <c r="AJ14" s="537"/>
      <c r="AK14" s="546"/>
      <c r="AL14" s="540"/>
      <c r="AM14" s="546"/>
      <c r="AN14" s="547"/>
      <c r="AO14" s="546"/>
      <c r="AP14" s="547"/>
      <c r="AQ14" s="546"/>
      <c r="AR14" s="547"/>
      <c r="AS14" s="546"/>
      <c r="AT14" s="544"/>
      <c r="AU14" s="546"/>
      <c r="AV14" s="489"/>
      <c r="AW14" s="546"/>
      <c r="AX14" s="547"/>
      <c r="AY14" s="546"/>
      <c r="AZ14" s="542"/>
      <c r="BA14" s="546"/>
      <c r="BB14" s="542"/>
      <c r="BC14" s="546"/>
      <c r="BD14" s="542"/>
      <c r="BE14" s="542"/>
      <c r="BF14" s="542"/>
      <c r="BG14" s="542"/>
      <c r="BH14" s="547"/>
      <c r="BI14" s="546"/>
      <c r="BJ14" s="547"/>
      <c r="BK14" s="546"/>
      <c r="BL14" s="547"/>
      <c r="BM14" s="546"/>
      <c r="BN14" s="547"/>
      <c r="BO14" s="546"/>
      <c r="BP14" s="547"/>
      <c r="BQ14" s="546"/>
      <c r="BR14" s="539"/>
    </row>
    <row r="15" spans="1:70" ht="15" x14ac:dyDescent="0.2">
      <c r="A15" s="444" t="s">
        <v>724</v>
      </c>
      <c r="B15" s="540"/>
      <c r="C15" s="546"/>
      <c r="D15" s="540"/>
      <c r="E15" s="546"/>
      <c r="F15" s="540"/>
      <c r="G15" s="546"/>
      <c r="H15" s="540"/>
      <c r="I15" s="546"/>
      <c r="J15" s="540"/>
      <c r="K15" s="546"/>
      <c r="L15" s="540"/>
      <c r="M15" s="546"/>
      <c r="N15" s="540"/>
      <c r="O15" s="546"/>
      <c r="P15" s="540"/>
      <c r="Q15" s="546"/>
      <c r="R15" s="540"/>
      <c r="S15" s="546"/>
      <c r="T15" s="540"/>
      <c r="U15" s="546"/>
      <c r="V15" s="540"/>
      <c r="W15" s="546"/>
      <c r="X15" s="540"/>
      <c r="Y15" s="546"/>
      <c r="Z15" s="540"/>
      <c r="AA15" s="546"/>
      <c r="AB15" s="486"/>
      <c r="AC15" s="546"/>
      <c r="AD15" s="542"/>
      <c r="AE15" s="546"/>
      <c r="AF15" s="540"/>
      <c r="AG15" s="546"/>
      <c r="AH15" s="540"/>
      <c r="AI15" s="546"/>
      <c r="AJ15" s="537"/>
      <c r="AK15" s="546"/>
      <c r="AL15" s="540"/>
      <c r="AM15" s="546"/>
      <c r="AN15" s="547"/>
      <c r="AO15" s="546"/>
      <c r="AP15" s="547"/>
      <c r="AQ15" s="546"/>
      <c r="AR15" s="547"/>
      <c r="AS15" s="546"/>
      <c r="AT15" s="544"/>
      <c r="AU15" s="546"/>
      <c r="AV15" s="489"/>
      <c r="AW15" s="546"/>
      <c r="AX15" s="547"/>
      <c r="AY15" s="546"/>
      <c r="AZ15" s="542"/>
      <c r="BA15" s="546"/>
      <c r="BB15" s="542"/>
      <c r="BC15" s="546"/>
      <c r="BD15" s="542"/>
      <c r="BE15" s="542"/>
      <c r="BF15" s="542"/>
      <c r="BG15" s="542"/>
      <c r="BH15" s="547"/>
      <c r="BI15" s="546"/>
      <c r="BJ15" s="547"/>
      <c r="BK15" s="546"/>
      <c r="BL15" s="547"/>
      <c r="BM15" s="546"/>
      <c r="BN15" s="547"/>
      <c r="BO15" s="546"/>
      <c r="BP15" s="547"/>
      <c r="BQ15" s="546"/>
      <c r="BR15" s="539"/>
    </row>
    <row r="16" spans="1:70" x14ac:dyDescent="0.2">
      <c r="A16" s="444" t="s">
        <v>705</v>
      </c>
      <c r="B16" s="540">
        <v>270</v>
      </c>
      <c r="C16" s="541">
        <f>ROUND(B16*C$45, 0)</f>
        <v>1751</v>
      </c>
      <c r="D16" s="540">
        <v>411</v>
      </c>
      <c r="E16" s="541">
        <f>ROUND(D16*E$45, 0)</f>
        <v>1576</v>
      </c>
      <c r="F16" s="540">
        <v>435</v>
      </c>
      <c r="G16" s="541">
        <f>ROUND(F16*G$45, 0)</f>
        <v>1457</v>
      </c>
      <c r="H16" s="540">
        <v>918</v>
      </c>
      <c r="I16" s="541">
        <f>ROUND(H16*I$45, 0)</f>
        <v>1952</v>
      </c>
      <c r="J16" s="540">
        <v>1002</v>
      </c>
      <c r="K16" s="541">
        <f>ROUND(J16*K$45, 0)</f>
        <v>1972</v>
      </c>
      <c r="L16" s="540"/>
      <c r="M16" s="541">
        <f>ROUND(L16*M$45, 0)</f>
        <v>0</v>
      </c>
      <c r="N16" s="540"/>
      <c r="O16" s="541">
        <f>ROUND(N16*O$45, 0)</f>
        <v>0</v>
      </c>
      <c r="P16" s="540"/>
      <c r="Q16" s="541">
        <f>ROUND(P16*Q$45, 0)</f>
        <v>0</v>
      </c>
      <c r="R16" s="540"/>
      <c r="S16" s="541">
        <f>ROUND(R16*S$45, 0)</f>
        <v>0</v>
      </c>
      <c r="T16" s="540"/>
      <c r="U16" s="541">
        <f>ROUND(T16*U$45, 0)</f>
        <v>0</v>
      </c>
      <c r="V16" s="540"/>
      <c r="W16" s="541">
        <f>ROUND(V16*W$45, 0)</f>
        <v>0</v>
      </c>
      <c r="X16" s="540"/>
      <c r="Y16" s="541">
        <f>ROUND(X16*Y$45, 0)</f>
        <v>0</v>
      </c>
      <c r="Z16" s="540"/>
      <c r="AA16" s="541">
        <f>ROUND(Z16*AA$45, 0)</f>
        <v>0</v>
      </c>
      <c r="AB16" s="486">
        <v>1560</v>
      </c>
      <c r="AC16" s="541">
        <f>ROUND(AB16*AC$45, 0)</f>
        <v>2409</v>
      </c>
      <c r="AD16" s="542">
        <v>1606</v>
      </c>
      <c r="AE16" s="541">
        <f>ROUND(AD16*AE$45, 0)</f>
        <v>2428</v>
      </c>
      <c r="AF16" s="540"/>
      <c r="AG16" s="541">
        <f>ROUND(AF16*AG$45, 0)</f>
        <v>0</v>
      </c>
      <c r="AH16" s="540"/>
      <c r="AI16" s="541">
        <f>ROUND(AH16*AI$45, 0)</f>
        <v>0</v>
      </c>
      <c r="AJ16" s="537">
        <v>1946</v>
      </c>
      <c r="AK16" s="541">
        <f>ROUND(AJ16*AK$45, 0)</f>
        <v>2723</v>
      </c>
      <c r="AL16" s="540">
        <v>2130</v>
      </c>
      <c r="AM16" s="541">
        <f>ROUND(AL16*AM$45, 0)</f>
        <v>2919</v>
      </c>
      <c r="AN16" s="543">
        <v>2344</v>
      </c>
      <c r="AO16" s="541">
        <f>ROUND(AN16*AO$45, 0)</f>
        <v>3119</v>
      </c>
      <c r="AP16" s="543">
        <v>2573.4</v>
      </c>
      <c r="AQ16" s="541">
        <f>ROUND(AP16*AQ$45, 0)</f>
        <v>3319</v>
      </c>
      <c r="AR16" s="543">
        <v>2793</v>
      </c>
      <c r="AS16" s="541">
        <f>ROUND(AR16*AS$45, 0)</f>
        <v>3459</v>
      </c>
      <c r="AT16" s="544">
        <v>2988.4</v>
      </c>
      <c r="AU16" s="541">
        <f>ROUND(AT16*AU$45, 0)</f>
        <v>3615</v>
      </c>
      <c r="AV16" s="489">
        <v>3153</v>
      </c>
      <c r="AW16" s="541">
        <f>ROUND(AV16*AW$45, 0)</f>
        <v>3612</v>
      </c>
      <c r="AX16" s="543">
        <v>3357.7</v>
      </c>
      <c r="AY16" s="541">
        <f>ROUND(AX16*AY$45, 0)</f>
        <v>3929</v>
      </c>
      <c r="AZ16" s="545">
        <v>3559.18</v>
      </c>
      <c r="BA16" s="541">
        <v>3559</v>
      </c>
      <c r="BB16" s="545">
        <v>3772.84</v>
      </c>
      <c r="BC16" s="541">
        <f>ROUND(BB16*BC$45, 0)</f>
        <v>4208</v>
      </c>
      <c r="BD16" s="545"/>
      <c r="BE16" s="545">
        <f>ROUND(BD16*BE$45, 0)</f>
        <v>0</v>
      </c>
      <c r="BF16" s="545">
        <v>4159</v>
      </c>
      <c r="BG16" s="545">
        <f>ROUND(BF16*BG$45, 0)</f>
        <v>4487</v>
      </c>
      <c r="BH16" s="543">
        <v>4325.82</v>
      </c>
      <c r="BI16" s="541">
        <f>ROUND(BH16*BI$45, 0)</f>
        <v>4576</v>
      </c>
      <c r="BJ16" s="543">
        <v>4455.58</v>
      </c>
      <c r="BK16" s="541">
        <v>4456</v>
      </c>
      <c r="BL16" s="543">
        <v>4611.4399999999996</v>
      </c>
      <c r="BM16" s="541">
        <f>ROUND(BL16*BM$45, 0)</f>
        <v>4829</v>
      </c>
      <c r="BN16" s="543">
        <v>4772.8999999999996</v>
      </c>
      <c r="BO16" s="541">
        <f>ROUND(BN16*BO$45, 0)</f>
        <v>4914</v>
      </c>
      <c r="BP16" s="543">
        <v>4892.18</v>
      </c>
      <c r="BQ16" s="541">
        <f>ROUND(BP16*BQ$45, 0)</f>
        <v>4892</v>
      </c>
      <c r="BR16" s="539">
        <f>(BQ16-AW16)/BQ16</f>
        <v>0.26165167620605068</v>
      </c>
    </row>
    <row r="17" spans="1:70" x14ac:dyDescent="0.2">
      <c r="A17" s="444" t="s">
        <v>708</v>
      </c>
      <c r="B17" s="540">
        <v>675</v>
      </c>
      <c r="C17" s="541">
        <f>ROUND(B17*C$45, 0)</f>
        <v>4377</v>
      </c>
      <c r="D17" s="540">
        <v>1029</v>
      </c>
      <c r="E17" s="541">
        <f>ROUND(D17*E$45, 0)</f>
        <v>3947</v>
      </c>
      <c r="F17" s="540">
        <v>1245</v>
      </c>
      <c r="G17" s="541">
        <f>ROUND(F17*G$45, 0)</f>
        <v>4169</v>
      </c>
      <c r="H17" s="540">
        <v>2937</v>
      </c>
      <c r="I17" s="541">
        <f>ROUND(H17*I$45, 0)</f>
        <v>6246</v>
      </c>
      <c r="J17" s="540">
        <v>3207</v>
      </c>
      <c r="K17" s="541">
        <f>ROUND(J17*K$45, 0)</f>
        <v>6311</v>
      </c>
      <c r="L17" s="540"/>
      <c r="M17" s="541">
        <f>ROUND(L17*M$45, 0)</f>
        <v>0</v>
      </c>
      <c r="N17" s="540"/>
      <c r="O17" s="541">
        <f>ROUND(N17*O$45, 0)</f>
        <v>0</v>
      </c>
      <c r="P17" s="540"/>
      <c r="Q17" s="541">
        <f>ROUND(P17*Q$45, 0)</f>
        <v>0</v>
      </c>
      <c r="R17" s="540"/>
      <c r="S17" s="541">
        <f>ROUND(R17*S$45, 0)</f>
        <v>0</v>
      </c>
      <c r="T17" s="540"/>
      <c r="U17" s="541">
        <f>ROUND(T17*U$45, 0)</f>
        <v>0</v>
      </c>
      <c r="V17" s="540"/>
      <c r="W17" s="541">
        <f>ROUND(V17*W$45, 0)</f>
        <v>0</v>
      </c>
      <c r="X17" s="540"/>
      <c r="Y17" s="541">
        <f>ROUND(X17*Y$45, 0)</f>
        <v>0</v>
      </c>
      <c r="Z17" s="540"/>
      <c r="AA17" s="541">
        <f>ROUND(Z17*AA$45, 0)</f>
        <v>0</v>
      </c>
      <c r="AB17" s="486">
        <v>5460</v>
      </c>
      <c r="AC17" s="541">
        <f>ROUND(AB17*AC$45, 0)</f>
        <v>8431</v>
      </c>
      <c r="AD17" s="542">
        <v>5622</v>
      </c>
      <c r="AE17" s="541">
        <f>ROUND(AD17*AE$45, 0)</f>
        <v>8499</v>
      </c>
      <c r="AF17" s="540"/>
      <c r="AG17" s="541">
        <f>ROUND(AF17*AG$45, 0)</f>
        <v>0</v>
      </c>
      <c r="AH17" s="540"/>
      <c r="AI17" s="541">
        <f>ROUND(AH17*AI$45, 0)</f>
        <v>0</v>
      </c>
      <c r="AJ17" s="537">
        <v>6812</v>
      </c>
      <c r="AK17" s="541">
        <f>ROUND(AJ17*AK$45, 0)</f>
        <v>9532</v>
      </c>
      <c r="AL17" s="540">
        <v>7456</v>
      </c>
      <c r="AM17" s="541">
        <f>ROUND(AL17*AM$45, 0)</f>
        <v>10217</v>
      </c>
      <c r="AN17" s="543">
        <v>8204</v>
      </c>
      <c r="AO17" s="541">
        <f>ROUND(AN17*AO$45, 0)</f>
        <v>10916</v>
      </c>
      <c r="AP17" s="543">
        <v>9007</v>
      </c>
      <c r="AQ17" s="541">
        <f>ROUND(AP17*AQ$45, 0)</f>
        <v>11616</v>
      </c>
      <c r="AR17" s="543">
        <v>9776</v>
      </c>
      <c r="AS17" s="541">
        <f>ROUND(AR17*AS$45, 0)</f>
        <v>12106</v>
      </c>
      <c r="AT17" s="544">
        <v>10459</v>
      </c>
      <c r="AU17" s="541">
        <f>ROUND(AT17*AU$45, 0)</f>
        <v>12654</v>
      </c>
      <c r="AV17" s="489">
        <v>10459</v>
      </c>
      <c r="AW17" s="541">
        <f>ROUND(AV17*AW$45, 0)</f>
        <v>11983</v>
      </c>
      <c r="AX17" s="543">
        <v>10825.32</v>
      </c>
      <c r="AY17" s="541">
        <f>ROUND(AX17*AY$45, 0)</f>
        <v>12668</v>
      </c>
      <c r="AZ17" s="545">
        <v>11149.76</v>
      </c>
      <c r="BA17" s="541">
        <v>11150</v>
      </c>
      <c r="BB17" s="545">
        <v>11484.18</v>
      </c>
      <c r="BC17" s="541">
        <f>ROUND(BB17*BC$45, 0)</f>
        <v>12810</v>
      </c>
      <c r="BD17" s="545"/>
      <c r="BE17" s="545">
        <f>ROUND(BD17*BE$45, 0)</f>
        <v>0</v>
      </c>
      <c r="BF17" s="545">
        <v>12480</v>
      </c>
      <c r="BG17" s="545">
        <f>ROUND(BF17*BG$45, 0)</f>
        <v>13464</v>
      </c>
      <c r="BH17" s="543">
        <v>12979.62</v>
      </c>
      <c r="BI17" s="541">
        <f>ROUND(BH17*BI$45, 0)</f>
        <v>13729</v>
      </c>
      <c r="BJ17" s="543">
        <v>13369</v>
      </c>
      <c r="BK17" s="541">
        <v>13369</v>
      </c>
      <c r="BL17" s="543">
        <v>13837</v>
      </c>
      <c r="BM17" s="541">
        <f>ROUND(BL17*BM$45, 0)</f>
        <v>14490</v>
      </c>
      <c r="BN17" s="543">
        <v>14320.94</v>
      </c>
      <c r="BO17" s="541">
        <f>ROUND(BN17*BO$45, 0)</f>
        <v>14743</v>
      </c>
      <c r="BP17" s="543">
        <v>14679</v>
      </c>
      <c r="BQ17" s="541">
        <f>ROUND(BP17*BQ$45, 0)</f>
        <v>14679</v>
      </c>
      <c r="BR17" s="539">
        <f>(BQ17-AW17)/BQ17</f>
        <v>0.18366373731180599</v>
      </c>
    </row>
    <row r="18" spans="1:70" ht="8.1" customHeight="1" x14ac:dyDescent="0.2">
      <c r="A18" s="444"/>
      <c r="B18" s="540"/>
      <c r="C18" s="546"/>
      <c r="D18" s="540"/>
      <c r="E18" s="546"/>
      <c r="F18" s="540"/>
      <c r="G18" s="546"/>
      <c r="H18" s="540"/>
      <c r="I18" s="546"/>
      <c r="J18" s="540"/>
      <c r="K18" s="546"/>
      <c r="L18" s="540"/>
      <c r="M18" s="546"/>
      <c r="N18" s="540"/>
      <c r="O18" s="546"/>
      <c r="P18" s="540"/>
      <c r="Q18" s="546"/>
      <c r="R18" s="540"/>
      <c r="S18" s="546"/>
      <c r="T18" s="540"/>
      <c r="U18" s="546"/>
      <c r="V18" s="540"/>
      <c r="W18" s="546"/>
      <c r="X18" s="540"/>
      <c r="Y18" s="546"/>
      <c r="Z18" s="540"/>
      <c r="AA18" s="546"/>
      <c r="AB18" s="486"/>
      <c r="AC18" s="546"/>
      <c r="AD18" s="542"/>
      <c r="AE18" s="546"/>
      <c r="AF18" s="540"/>
      <c r="AG18" s="546"/>
      <c r="AH18" s="540"/>
      <c r="AI18" s="546"/>
      <c r="AJ18" s="537"/>
      <c r="AK18" s="546"/>
      <c r="AL18" s="540"/>
      <c r="AM18" s="546"/>
      <c r="AN18" s="547"/>
      <c r="AO18" s="546"/>
      <c r="AP18" s="547"/>
      <c r="AQ18" s="546"/>
      <c r="AR18" s="547"/>
      <c r="AS18" s="546"/>
      <c r="AT18" s="544"/>
      <c r="AU18" s="546"/>
      <c r="AV18" s="489"/>
      <c r="AW18" s="546"/>
      <c r="AX18" s="547"/>
      <c r="AY18" s="546"/>
      <c r="AZ18" s="542"/>
      <c r="BA18" s="546"/>
      <c r="BB18" s="542"/>
      <c r="BC18" s="546"/>
      <c r="BD18" s="542"/>
      <c r="BE18" s="542"/>
      <c r="BF18" s="542"/>
      <c r="BG18" s="542"/>
      <c r="BH18" s="547"/>
      <c r="BI18" s="546"/>
      <c r="BJ18" s="547"/>
      <c r="BK18" s="546"/>
      <c r="BL18" s="547"/>
      <c r="BM18" s="546"/>
      <c r="BN18" s="547"/>
      <c r="BO18" s="546"/>
      <c r="BP18" s="547"/>
      <c r="BQ18" s="546"/>
      <c r="BR18" s="539"/>
    </row>
    <row r="19" spans="1:70" x14ac:dyDescent="0.2">
      <c r="A19" s="444" t="s">
        <v>6</v>
      </c>
      <c r="B19" s="540"/>
      <c r="C19" s="546"/>
      <c r="D19" s="540"/>
      <c r="E19" s="546"/>
      <c r="F19" s="540"/>
      <c r="G19" s="546"/>
      <c r="H19" s="540"/>
      <c r="I19" s="546"/>
      <c r="J19" s="540"/>
      <c r="K19" s="546"/>
      <c r="L19" s="540"/>
      <c r="M19" s="546"/>
      <c r="N19" s="540"/>
      <c r="O19" s="546"/>
      <c r="P19" s="540"/>
      <c r="Q19" s="546"/>
      <c r="R19" s="540"/>
      <c r="S19" s="546"/>
      <c r="T19" s="540"/>
      <c r="U19" s="546"/>
      <c r="V19" s="540"/>
      <c r="W19" s="546"/>
      <c r="X19" s="540"/>
      <c r="Y19" s="546"/>
      <c r="Z19" s="540"/>
      <c r="AA19" s="546"/>
      <c r="AB19" s="486"/>
      <c r="AC19" s="546"/>
      <c r="AD19" s="542"/>
      <c r="AE19" s="546"/>
      <c r="AF19" s="540"/>
      <c r="AG19" s="546"/>
      <c r="AH19" s="540"/>
      <c r="AI19" s="546"/>
      <c r="AJ19" s="537"/>
      <c r="AK19" s="546"/>
      <c r="AL19" s="540"/>
      <c r="AM19" s="546"/>
      <c r="AN19" s="547"/>
      <c r="AO19" s="546"/>
      <c r="AP19" s="547"/>
      <c r="AQ19" s="546"/>
      <c r="AR19" s="547"/>
      <c r="AS19" s="546"/>
      <c r="AT19" s="544"/>
      <c r="AU19" s="546"/>
      <c r="AV19" s="489"/>
      <c r="AW19" s="546"/>
      <c r="AX19" s="547"/>
      <c r="AY19" s="546"/>
      <c r="AZ19" s="542"/>
      <c r="BA19" s="546"/>
      <c r="BB19" s="542"/>
      <c r="BC19" s="546"/>
      <c r="BD19" s="542"/>
      <c r="BE19" s="542"/>
      <c r="BF19" s="542"/>
      <c r="BG19" s="542"/>
      <c r="BH19" s="547"/>
      <c r="BI19" s="546"/>
      <c r="BJ19" s="547"/>
      <c r="BK19" s="546"/>
      <c r="BL19" s="547"/>
      <c r="BM19" s="546"/>
      <c r="BN19" s="547"/>
      <c r="BO19" s="546"/>
      <c r="BP19" s="547"/>
      <c r="BQ19" s="546"/>
      <c r="BR19" s="539"/>
    </row>
    <row r="20" spans="1:70" x14ac:dyDescent="0.2">
      <c r="A20" s="444" t="s">
        <v>705</v>
      </c>
      <c r="B20" s="540">
        <v>276</v>
      </c>
      <c r="C20" s="541">
        <f>ROUND(B20*C$45, 0)</f>
        <v>1790</v>
      </c>
      <c r="D20" s="540">
        <v>390</v>
      </c>
      <c r="E20" s="541">
        <f>ROUND(D20*E$45, 0)</f>
        <v>1496</v>
      </c>
      <c r="F20" s="540">
        <v>420</v>
      </c>
      <c r="G20" s="541">
        <f>ROUND(F20*G$45, 0)</f>
        <v>1406</v>
      </c>
      <c r="H20" s="540">
        <v>870</v>
      </c>
      <c r="I20" s="541">
        <f>ROUND(H20*I$45, 0)</f>
        <v>1850</v>
      </c>
      <c r="J20" s="540">
        <v>948</v>
      </c>
      <c r="K20" s="541">
        <f>ROUND(J20*K$45, 0)</f>
        <v>1865</v>
      </c>
      <c r="L20" s="540"/>
      <c r="M20" s="541">
        <f>ROUND(L20*M$45, 0)</f>
        <v>0</v>
      </c>
      <c r="N20" s="540"/>
      <c r="O20" s="541">
        <f>ROUND(N20*O$45, 0)</f>
        <v>0</v>
      </c>
      <c r="P20" s="540"/>
      <c r="Q20" s="541">
        <f>ROUND(P20*Q$45, 0)</f>
        <v>0</v>
      </c>
      <c r="R20" s="540"/>
      <c r="S20" s="541">
        <f>ROUND(R20*S$45, 0)</f>
        <v>0</v>
      </c>
      <c r="T20" s="540"/>
      <c r="U20" s="541">
        <f>ROUND(T20*U$45, 0)</f>
        <v>0</v>
      </c>
      <c r="V20" s="540"/>
      <c r="W20" s="541">
        <f>ROUND(V20*W$45, 0)</f>
        <v>0</v>
      </c>
      <c r="X20" s="540"/>
      <c r="Y20" s="541">
        <f>ROUND(X20*Y$45, 0)</f>
        <v>0</v>
      </c>
      <c r="Z20" s="540"/>
      <c r="AA20" s="541">
        <f>ROUND(Z20*AA$45, 0)</f>
        <v>0</v>
      </c>
      <c r="AB20" s="486">
        <v>1480</v>
      </c>
      <c r="AC20" s="541">
        <f>ROUND(AB20*AC$45, 0)</f>
        <v>2285</v>
      </c>
      <c r="AD20" s="542">
        <v>1524</v>
      </c>
      <c r="AE20" s="541">
        <f>ROUND(AD20*AE$45, 0)</f>
        <v>2304</v>
      </c>
      <c r="AF20" s="540"/>
      <c r="AG20" s="541">
        <f>ROUND(AF20*AG$45, 0)</f>
        <v>0</v>
      </c>
      <c r="AH20" s="540"/>
      <c r="AI20" s="541">
        <f>ROUND(AH20*AI$45, 0)</f>
        <v>0</v>
      </c>
      <c r="AJ20" s="537">
        <v>1888</v>
      </c>
      <c r="AK20" s="541">
        <f>ROUND(AJ20*AK$45, 0)</f>
        <v>2642</v>
      </c>
      <c r="AL20" s="540">
        <v>2332</v>
      </c>
      <c r="AM20" s="541">
        <f>ROUND(AL20*AM$45, 0)</f>
        <v>3196</v>
      </c>
      <c r="AN20" s="543">
        <v>2588</v>
      </c>
      <c r="AO20" s="541">
        <f>ROUND(AN20*AO$45, 0)</f>
        <v>3443</v>
      </c>
      <c r="AP20" s="543">
        <v>2834</v>
      </c>
      <c r="AQ20" s="541">
        <f>ROUND(AP20*AQ$45, 0)</f>
        <v>3655</v>
      </c>
      <c r="AR20" s="543">
        <v>3060</v>
      </c>
      <c r="AS20" s="541">
        <f>ROUND(AR20*AS$45, 0)</f>
        <v>3789</v>
      </c>
      <c r="AT20" s="544">
        <v>3274</v>
      </c>
      <c r="AU20" s="541">
        <f>ROUND(AT20*AU$45, 0)</f>
        <v>3961</v>
      </c>
      <c r="AV20" s="489">
        <v>3502</v>
      </c>
      <c r="AW20" s="541">
        <f>ROUND(AV20*AW$45, 0)</f>
        <v>4012</v>
      </c>
      <c r="AX20" s="543">
        <v>3730</v>
      </c>
      <c r="AY20" s="541">
        <f>ROUND(AX20*AY$45, 0)</f>
        <v>4365</v>
      </c>
      <c r="AZ20" s="545">
        <v>4196</v>
      </c>
      <c r="BA20" s="541">
        <v>4196</v>
      </c>
      <c r="BB20" s="545">
        <v>4658</v>
      </c>
      <c r="BC20" s="541">
        <f>ROUND(BB20*BC$45, 0)</f>
        <v>5196</v>
      </c>
      <c r="BD20" s="545"/>
      <c r="BE20" s="545">
        <f>ROUND(BD20*BE$45, 0)</f>
        <v>0</v>
      </c>
      <c r="BF20" s="545">
        <v>5208</v>
      </c>
      <c r="BG20" s="545">
        <f>ROUND(BF20*BG$45, 0)</f>
        <v>5618</v>
      </c>
      <c r="BH20" s="543">
        <v>5416</v>
      </c>
      <c r="BI20" s="541">
        <f>ROUND(BH20*BI$45, 0)</f>
        <v>5729</v>
      </c>
      <c r="BJ20" s="543">
        <v>5578</v>
      </c>
      <c r="BK20" s="541">
        <v>5578</v>
      </c>
      <c r="BL20" s="543">
        <v>5774</v>
      </c>
      <c r="BM20" s="541">
        <f>ROUND(BL20*BM$45, 0)</f>
        <v>6047</v>
      </c>
      <c r="BN20" s="543">
        <v>5918</v>
      </c>
      <c r="BO20" s="541">
        <f>ROUND(BN20*BO$45, 0)</f>
        <v>6093</v>
      </c>
      <c r="BP20" s="543">
        <v>6006</v>
      </c>
      <c r="BQ20" s="541">
        <f>ROUND(BP20*BQ$45, 0)</f>
        <v>6006</v>
      </c>
      <c r="BR20" s="539">
        <f>(BQ20-AW20)/BQ20</f>
        <v>0.33200133200133203</v>
      </c>
    </row>
    <row r="21" spans="1:70" x14ac:dyDescent="0.2">
      <c r="A21" s="444" t="s">
        <v>708</v>
      </c>
      <c r="B21" s="540">
        <v>681</v>
      </c>
      <c r="C21" s="541">
        <f>ROUND(B21*C$45, 0)</f>
        <v>4416</v>
      </c>
      <c r="D21" s="540">
        <v>975</v>
      </c>
      <c r="E21" s="541">
        <f>ROUND(D21*E$45, 0)</f>
        <v>3740</v>
      </c>
      <c r="F21" s="540">
        <v>1200</v>
      </c>
      <c r="G21" s="541">
        <f>ROUND(F21*G$45, 0)</f>
        <v>4018</v>
      </c>
      <c r="H21" s="540">
        <v>2781</v>
      </c>
      <c r="I21" s="541">
        <f>ROUND(H21*I$45, 0)</f>
        <v>5914</v>
      </c>
      <c r="J21" s="540">
        <v>3033</v>
      </c>
      <c r="K21" s="541">
        <f>ROUND(J21*K$45, 0)</f>
        <v>5968</v>
      </c>
      <c r="L21" s="540"/>
      <c r="M21" s="541">
        <f>ROUND(L21*M$45, 0)</f>
        <v>0</v>
      </c>
      <c r="N21" s="540"/>
      <c r="O21" s="541">
        <f>ROUND(N21*O$45, 0)</f>
        <v>0</v>
      </c>
      <c r="P21" s="540"/>
      <c r="Q21" s="541">
        <f>ROUND(P21*Q$45, 0)</f>
        <v>0</v>
      </c>
      <c r="R21" s="540"/>
      <c r="S21" s="541">
        <f>ROUND(R21*S$45, 0)</f>
        <v>0</v>
      </c>
      <c r="T21" s="540"/>
      <c r="U21" s="541">
        <f>ROUND(T21*U$45, 0)</f>
        <v>0</v>
      </c>
      <c r="V21" s="540"/>
      <c r="W21" s="541">
        <f>ROUND(V21*W$45, 0)</f>
        <v>0</v>
      </c>
      <c r="X21" s="540"/>
      <c r="Y21" s="541">
        <f>ROUND(X21*Y$45, 0)</f>
        <v>0</v>
      </c>
      <c r="Z21" s="540"/>
      <c r="AA21" s="541">
        <f>ROUND(Z21*AA$45, 0)</f>
        <v>0</v>
      </c>
      <c r="AB21" s="486">
        <v>5586</v>
      </c>
      <c r="AC21" s="541">
        <f>ROUND(AB21*AC$45, 0)</f>
        <v>8626</v>
      </c>
      <c r="AD21" s="542">
        <v>5754</v>
      </c>
      <c r="AE21" s="541">
        <f>ROUND(AD21*AE$45, 0)</f>
        <v>8699</v>
      </c>
      <c r="AF21" s="540"/>
      <c r="AG21" s="541">
        <f>ROUND(AF21*AG$45, 0)</f>
        <v>0</v>
      </c>
      <c r="AH21" s="540"/>
      <c r="AI21" s="541">
        <f>ROUND(AH21*AI$45, 0)</f>
        <v>0</v>
      </c>
      <c r="AJ21" s="537">
        <v>6882</v>
      </c>
      <c r="AK21" s="541">
        <f>ROUND(AJ21*AK$45, 0)</f>
        <v>9630</v>
      </c>
      <c r="AL21" s="540">
        <v>7696</v>
      </c>
      <c r="AM21" s="541">
        <f>ROUND(AL21*AM$45, 0)</f>
        <v>10546</v>
      </c>
      <c r="AN21" s="543">
        <v>8542</v>
      </c>
      <c r="AO21" s="541">
        <f>ROUND(AN21*AO$45, 0)</f>
        <v>11366</v>
      </c>
      <c r="AP21" s="543">
        <v>9353</v>
      </c>
      <c r="AQ21" s="541">
        <f>ROUND(AP21*AQ$45, 0)</f>
        <v>12062</v>
      </c>
      <c r="AR21" s="543">
        <v>10098</v>
      </c>
      <c r="AS21" s="541">
        <f>ROUND(AR21*AS$45, 0)</f>
        <v>12505</v>
      </c>
      <c r="AT21" s="544">
        <v>10805</v>
      </c>
      <c r="AU21" s="541">
        <f>ROUND(AT21*AU$45, 0)</f>
        <v>13072</v>
      </c>
      <c r="AV21" s="489">
        <v>11560</v>
      </c>
      <c r="AW21" s="541">
        <f>ROUND(AV21*AW$45, 0)</f>
        <v>13244</v>
      </c>
      <c r="AX21" s="543">
        <v>12308</v>
      </c>
      <c r="AY21" s="541">
        <f>ROUND(AX21*AY$45, 0)</f>
        <v>14403</v>
      </c>
      <c r="AZ21" s="545">
        <v>13846</v>
      </c>
      <c r="BA21" s="541">
        <v>13846</v>
      </c>
      <c r="BB21" s="545">
        <v>15370</v>
      </c>
      <c r="BC21" s="541">
        <f>ROUND(BB21*BC$45, 0)</f>
        <v>17145</v>
      </c>
      <c r="BD21" s="545"/>
      <c r="BE21" s="545">
        <f>ROUND(BD21*BE$45, 0)</f>
        <v>0</v>
      </c>
      <c r="BF21" s="545">
        <v>17186</v>
      </c>
      <c r="BG21" s="545">
        <f>ROUND(BF21*BG$45, 0)</f>
        <v>18540</v>
      </c>
      <c r="BH21" s="543">
        <v>17874</v>
      </c>
      <c r="BI21" s="541">
        <f>ROUND(BH21*BI$45, 0)</f>
        <v>18906</v>
      </c>
      <c r="BJ21" s="543">
        <v>18410</v>
      </c>
      <c r="BK21" s="541">
        <v>18410</v>
      </c>
      <c r="BL21" s="543">
        <v>19054</v>
      </c>
      <c r="BM21" s="541">
        <f>ROUND(BL21*BM$45, 0)</f>
        <v>19953</v>
      </c>
      <c r="BN21" s="543">
        <v>19530</v>
      </c>
      <c r="BO21" s="541">
        <f>ROUND(BN21*BO$45, 0)</f>
        <v>20106</v>
      </c>
      <c r="BP21" s="543">
        <v>19822</v>
      </c>
      <c r="BQ21" s="541">
        <f>ROUND(BP21*BQ$45, 0)</f>
        <v>19822</v>
      </c>
      <c r="BR21" s="539">
        <f>(BQ21-AW21)/BQ21</f>
        <v>0.3318534961154273</v>
      </c>
    </row>
    <row r="22" spans="1:70" ht="8.1" customHeight="1" x14ac:dyDescent="0.2">
      <c r="A22" s="444"/>
      <c r="B22" s="540"/>
      <c r="C22" s="546"/>
      <c r="D22" s="540"/>
      <c r="E22" s="546"/>
      <c r="F22" s="540"/>
      <c r="G22" s="546"/>
      <c r="H22" s="540"/>
      <c r="I22" s="546"/>
      <c r="J22" s="540"/>
      <c r="K22" s="546"/>
      <c r="L22" s="540"/>
      <c r="M22" s="546"/>
      <c r="N22" s="540"/>
      <c r="O22" s="546"/>
      <c r="P22" s="540"/>
      <c r="Q22" s="546"/>
      <c r="R22" s="540"/>
      <c r="S22" s="546"/>
      <c r="T22" s="540"/>
      <c r="U22" s="546"/>
      <c r="V22" s="540"/>
      <c r="W22" s="546"/>
      <c r="X22" s="540"/>
      <c r="Y22" s="546"/>
      <c r="Z22" s="540"/>
      <c r="AA22" s="546"/>
      <c r="AB22" s="486"/>
      <c r="AC22" s="546"/>
      <c r="AD22" s="542"/>
      <c r="AE22" s="546"/>
      <c r="AF22" s="540"/>
      <c r="AG22" s="546"/>
      <c r="AH22" s="540"/>
      <c r="AI22" s="546"/>
      <c r="AJ22" s="537"/>
      <c r="AK22" s="546"/>
      <c r="AL22" s="540"/>
      <c r="AM22" s="546"/>
      <c r="AN22" s="547"/>
      <c r="AO22" s="546"/>
      <c r="AP22" s="547"/>
      <c r="AQ22" s="546"/>
      <c r="AR22" s="547"/>
      <c r="AS22" s="546"/>
      <c r="AT22" s="544"/>
      <c r="AU22" s="546"/>
      <c r="AV22" s="489"/>
      <c r="AW22" s="546"/>
      <c r="AX22" s="547"/>
      <c r="AY22" s="546"/>
      <c r="AZ22" s="542"/>
      <c r="BA22" s="546"/>
      <c r="BB22" s="542"/>
      <c r="BC22" s="546"/>
      <c r="BD22" s="542"/>
      <c r="BE22" s="542"/>
      <c r="BF22" s="542"/>
      <c r="BG22" s="542"/>
      <c r="BH22" s="547"/>
      <c r="BI22" s="546"/>
      <c r="BJ22" s="547"/>
      <c r="BK22" s="546"/>
      <c r="BL22" s="547"/>
      <c r="BM22" s="546"/>
      <c r="BN22" s="547"/>
      <c r="BO22" s="546"/>
      <c r="BP22" s="547"/>
      <c r="BQ22" s="546"/>
      <c r="BR22" s="539"/>
    </row>
    <row r="23" spans="1:70" ht="15" x14ac:dyDescent="0.2">
      <c r="A23" s="444" t="s">
        <v>710</v>
      </c>
      <c r="B23" s="540"/>
      <c r="C23" s="546"/>
      <c r="D23" s="540"/>
      <c r="E23" s="546"/>
      <c r="F23" s="540"/>
      <c r="G23" s="546"/>
      <c r="H23" s="540"/>
      <c r="I23" s="546"/>
      <c r="J23" s="540"/>
      <c r="K23" s="546"/>
      <c r="L23" s="540"/>
      <c r="M23" s="546"/>
      <c r="N23" s="540"/>
      <c r="O23" s="546"/>
      <c r="P23" s="540"/>
      <c r="Q23" s="546"/>
      <c r="R23" s="540"/>
      <c r="S23" s="546"/>
      <c r="T23" s="540"/>
      <c r="U23" s="546"/>
      <c r="V23" s="540"/>
      <c r="W23" s="546"/>
      <c r="X23" s="540"/>
      <c r="Y23" s="546"/>
      <c r="Z23" s="540"/>
      <c r="AA23" s="546"/>
      <c r="AB23" s="486"/>
      <c r="AC23" s="546"/>
      <c r="AD23" s="542"/>
      <c r="AE23" s="546"/>
      <c r="AF23" s="540"/>
      <c r="AG23" s="546"/>
      <c r="AH23" s="540"/>
      <c r="AI23" s="546"/>
      <c r="AJ23" s="537"/>
      <c r="AK23" s="546"/>
      <c r="AL23" s="540"/>
      <c r="AM23" s="546"/>
      <c r="AN23" s="547"/>
      <c r="AO23" s="546"/>
      <c r="AP23" s="547"/>
      <c r="AQ23" s="546"/>
      <c r="AR23" s="547"/>
      <c r="AS23" s="546"/>
      <c r="AT23" s="544"/>
      <c r="AU23" s="546"/>
      <c r="AV23" s="489"/>
      <c r="AW23" s="546"/>
      <c r="AX23" s="547"/>
      <c r="AY23" s="546"/>
      <c r="AZ23" s="542"/>
      <c r="BA23" s="546"/>
      <c r="BB23" s="542"/>
      <c r="BC23" s="546"/>
      <c r="BD23" s="542"/>
      <c r="BE23" s="542"/>
      <c r="BF23" s="542"/>
      <c r="BG23" s="542"/>
      <c r="BH23" s="547"/>
      <c r="BI23" s="546"/>
      <c r="BJ23" s="547"/>
      <c r="BK23" s="546"/>
      <c r="BL23" s="547"/>
      <c r="BM23" s="546"/>
      <c r="BN23" s="547"/>
      <c r="BO23" s="546"/>
      <c r="BP23" s="547"/>
      <c r="BQ23" s="546"/>
      <c r="BR23" s="539"/>
    </row>
    <row r="24" spans="1:70" x14ac:dyDescent="0.2">
      <c r="A24" s="444" t="s">
        <v>705</v>
      </c>
      <c r="B24" s="540">
        <v>240</v>
      </c>
      <c r="C24" s="541">
        <f>ROUND(B24*C$45, 0)</f>
        <v>1556</v>
      </c>
      <c r="D24" s="540">
        <v>330</v>
      </c>
      <c r="E24" s="541">
        <f>ROUND(D24*E$45, 0)</f>
        <v>1266</v>
      </c>
      <c r="F24" s="540">
        <v>351</v>
      </c>
      <c r="G24" s="541">
        <f>ROUND(F24*G$45, 0)</f>
        <v>1175</v>
      </c>
      <c r="H24" s="540">
        <v>690</v>
      </c>
      <c r="I24" s="541">
        <f>ROUND(H24*I$45, 0)</f>
        <v>1467</v>
      </c>
      <c r="J24" s="540">
        <v>738</v>
      </c>
      <c r="K24" s="541">
        <f>ROUND(J24*K$45, 0)</f>
        <v>1452</v>
      </c>
      <c r="L24" s="540"/>
      <c r="M24" s="541">
        <f>ROUND(L24*M$45, 0)</f>
        <v>0</v>
      </c>
      <c r="N24" s="540"/>
      <c r="O24" s="541">
        <f>ROUND(N24*O$45, 0)</f>
        <v>0</v>
      </c>
      <c r="P24" s="540"/>
      <c r="Q24" s="541">
        <f>ROUND(P24*Q$45, 0)</f>
        <v>0</v>
      </c>
      <c r="R24" s="540"/>
      <c r="S24" s="541">
        <f>ROUND(R24*S$45, 0)</f>
        <v>0</v>
      </c>
      <c r="T24" s="540"/>
      <c r="U24" s="541">
        <f>ROUND(T24*U$45, 0)</f>
        <v>0</v>
      </c>
      <c r="V24" s="540"/>
      <c r="W24" s="541">
        <f>ROUND(V24*W$45, 0)</f>
        <v>0</v>
      </c>
      <c r="X24" s="540"/>
      <c r="Y24" s="541">
        <f>ROUND(X24*Y$45, 0)</f>
        <v>0</v>
      </c>
      <c r="Z24" s="540"/>
      <c r="AA24" s="541">
        <f>ROUND(Z24*AA$45, 0)</f>
        <v>0</v>
      </c>
      <c r="AB24" s="486">
        <v>1011</v>
      </c>
      <c r="AC24" s="541">
        <f>ROUND(AB24*AC$45, 0)</f>
        <v>1561</v>
      </c>
      <c r="AD24" s="542">
        <v>1042</v>
      </c>
      <c r="AE24" s="541">
        <f>ROUND(AD24*AE$45, 0)</f>
        <v>1575</v>
      </c>
      <c r="AF24" s="540"/>
      <c r="AG24" s="541">
        <f>ROUND(AF24*AG$45, 0)</f>
        <v>0</v>
      </c>
      <c r="AH24" s="540"/>
      <c r="AI24" s="541">
        <f>ROUND(AH24*AI$45, 0)</f>
        <v>0</v>
      </c>
      <c r="AJ24" s="537">
        <v>1252</v>
      </c>
      <c r="AK24" s="541">
        <f>ROUND(AJ24*AK$45, 0)</f>
        <v>1752</v>
      </c>
      <c r="AL24" s="540">
        <v>1370</v>
      </c>
      <c r="AM24" s="541">
        <f>ROUND(AL24*AM$45, 0)</f>
        <v>1877</v>
      </c>
      <c r="AN24" s="543">
        <v>1494</v>
      </c>
      <c r="AO24" s="541">
        <f>ROUND(AN24*AO$45, 0)</f>
        <v>1988</v>
      </c>
      <c r="AP24" s="543">
        <v>1636</v>
      </c>
      <c r="AQ24" s="541">
        <f>ROUND(AP24*AQ$45, 0)</f>
        <v>2110</v>
      </c>
      <c r="AR24" s="543">
        <v>1784</v>
      </c>
      <c r="AS24" s="541">
        <f>ROUND(AR24*AS$45, 0)</f>
        <v>2209</v>
      </c>
      <c r="AT24" s="544">
        <v>1882</v>
      </c>
      <c r="AU24" s="541">
        <f>ROUND(AT24*AU$45, 0)</f>
        <v>2277</v>
      </c>
      <c r="AV24" s="489">
        <v>1967</v>
      </c>
      <c r="AW24" s="541">
        <f>ROUND(AV24*AW$45, 0)</f>
        <v>2254</v>
      </c>
      <c r="AX24" s="543">
        <v>2152</v>
      </c>
      <c r="AY24" s="541">
        <f>ROUND(AX24*AY$45, 0)</f>
        <v>2518</v>
      </c>
      <c r="AZ24" s="545">
        <v>2356</v>
      </c>
      <c r="BA24" s="541">
        <v>2356</v>
      </c>
      <c r="BB24" s="545">
        <v>2520</v>
      </c>
      <c r="BC24" s="541">
        <f>ROUND(BB24*BC$45, 0)</f>
        <v>2811</v>
      </c>
      <c r="BD24" s="545"/>
      <c r="BE24" s="545">
        <f>ROUND(BD24*BE$45, 0)</f>
        <v>0</v>
      </c>
      <c r="BF24" s="545">
        <v>2830</v>
      </c>
      <c r="BG24" s="545">
        <f>ROUND(BF24*BG$45, 0)</f>
        <v>3053</v>
      </c>
      <c r="BH24" s="543">
        <v>2998</v>
      </c>
      <c r="BI24" s="541">
        <f>ROUND(BH24*BI$45, 0)</f>
        <v>3171</v>
      </c>
      <c r="BJ24" s="543">
        <v>3088</v>
      </c>
      <c r="BK24" s="541">
        <v>3088</v>
      </c>
      <c r="BL24" s="543">
        <v>3196</v>
      </c>
      <c r="BM24" s="541">
        <f>ROUND(BL24*BM$45, 0)</f>
        <v>3347</v>
      </c>
      <c r="BN24" s="543">
        <v>3276</v>
      </c>
      <c r="BO24" s="541">
        <f>ROUND(BN24*BO$45, 0)</f>
        <v>3373</v>
      </c>
      <c r="BP24" s="543">
        <v>3326</v>
      </c>
      <c r="BQ24" s="541">
        <f>ROUND(BP24*BQ$45, 0)</f>
        <v>3326</v>
      </c>
      <c r="BR24" s="539">
        <f>(BQ24-AW24)/BQ24</f>
        <v>0.3223090799759471</v>
      </c>
    </row>
    <row r="25" spans="1:70" x14ac:dyDescent="0.2">
      <c r="A25" s="444" t="s">
        <v>708</v>
      </c>
      <c r="B25" s="540">
        <v>600</v>
      </c>
      <c r="C25" s="541">
        <f>ROUND(B25*C$45, 0)</f>
        <v>3891</v>
      </c>
      <c r="D25" s="540">
        <v>825</v>
      </c>
      <c r="E25" s="541">
        <f>ROUND(D25*E$45, 0)</f>
        <v>3164</v>
      </c>
      <c r="F25" s="540">
        <v>999</v>
      </c>
      <c r="G25" s="541">
        <f>ROUND(F25*G$45, 0)</f>
        <v>3345</v>
      </c>
      <c r="H25" s="540">
        <v>2208</v>
      </c>
      <c r="I25" s="541">
        <f>ROUND(H25*I$45, 0)</f>
        <v>4696</v>
      </c>
      <c r="J25" s="540">
        <v>2364</v>
      </c>
      <c r="K25" s="541">
        <f>ROUND(J25*K$45, 0)</f>
        <v>4652</v>
      </c>
      <c r="L25" s="540"/>
      <c r="M25" s="541">
        <f>ROUND(L25*M$45, 0)</f>
        <v>0</v>
      </c>
      <c r="N25" s="540"/>
      <c r="O25" s="541">
        <f>ROUND(N25*O$45, 0)</f>
        <v>0</v>
      </c>
      <c r="P25" s="540"/>
      <c r="Q25" s="541">
        <f>ROUND(P25*Q$45, 0)</f>
        <v>0</v>
      </c>
      <c r="R25" s="540"/>
      <c r="S25" s="541">
        <f>ROUND(R25*S$45, 0)</f>
        <v>0</v>
      </c>
      <c r="T25" s="540"/>
      <c r="U25" s="541">
        <f>ROUND(T25*U$45, 0)</f>
        <v>0</v>
      </c>
      <c r="V25" s="540"/>
      <c r="W25" s="541">
        <f>ROUND(V25*W$45, 0)</f>
        <v>0</v>
      </c>
      <c r="X25" s="540"/>
      <c r="Y25" s="541">
        <f>ROUND(X25*Y$45, 0)</f>
        <v>0</v>
      </c>
      <c r="Z25" s="540"/>
      <c r="AA25" s="541">
        <f>ROUND(Z25*AA$45, 0)</f>
        <v>0</v>
      </c>
      <c r="AB25" s="486">
        <v>4972</v>
      </c>
      <c r="AC25" s="541">
        <f>ROUND(AB25*AC$45, 0)</f>
        <v>7678</v>
      </c>
      <c r="AD25" s="542">
        <v>5126</v>
      </c>
      <c r="AE25" s="541">
        <f>ROUND(AD25*AE$45, 0)</f>
        <v>7749</v>
      </c>
      <c r="AF25" s="540"/>
      <c r="AG25" s="541">
        <f>ROUND(AF25*AG$45, 0)</f>
        <v>0</v>
      </c>
      <c r="AH25" s="540"/>
      <c r="AI25" s="541">
        <f>ROUND(AH25*AI$45, 0)</f>
        <v>0</v>
      </c>
      <c r="AJ25" s="537">
        <v>5810</v>
      </c>
      <c r="AK25" s="541">
        <f>ROUND(AJ25*AK$45, 0)</f>
        <v>8130</v>
      </c>
      <c r="AL25" s="540">
        <v>6072</v>
      </c>
      <c r="AM25" s="541">
        <f>ROUND(AL25*AM$45, 0)</f>
        <v>8321</v>
      </c>
      <c r="AN25" s="543">
        <v>6256</v>
      </c>
      <c r="AO25" s="541">
        <f>ROUND(AN25*AO$45, 0)</f>
        <v>8324</v>
      </c>
      <c r="AP25" s="543">
        <v>6850</v>
      </c>
      <c r="AQ25" s="541">
        <f>ROUND(AP25*AQ$45, 0)</f>
        <v>8834</v>
      </c>
      <c r="AR25" s="543">
        <v>7118</v>
      </c>
      <c r="AS25" s="541">
        <f>ROUND(AR25*AS$45, 0)</f>
        <v>8815</v>
      </c>
      <c r="AT25" s="544">
        <v>7509</v>
      </c>
      <c r="AU25" s="541">
        <f>ROUND(AT25*AU$45, 0)</f>
        <v>9085</v>
      </c>
      <c r="AV25" s="489">
        <v>7847</v>
      </c>
      <c r="AW25" s="541">
        <f>ROUND(AV25*AW$45, 0)</f>
        <v>8990</v>
      </c>
      <c r="AX25" s="543">
        <v>7848</v>
      </c>
      <c r="AY25" s="541">
        <f>ROUND(AX25*AY$45, 0)</f>
        <v>9184</v>
      </c>
      <c r="AZ25" s="545">
        <v>8594</v>
      </c>
      <c r="BA25" s="541">
        <v>8594</v>
      </c>
      <c r="BB25" s="545">
        <v>9196</v>
      </c>
      <c r="BC25" s="541">
        <f>ROUND(BB25*BC$45, 0)</f>
        <v>10258</v>
      </c>
      <c r="BD25" s="545"/>
      <c r="BE25" s="545">
        <f>ROUND(BD25*BE$45, 0)</f>
        <v>0</v>
      </c>
      <c r="BF25" s="545">
        <v>10332</v>
      </c>
      <c r="BG25" s="545">
        <f>ROUND(BF25*BG$45, 0)</f>
        <v>11146</v>
      </c>
      <c r="BH25" s="543">
        <v>10952</v>
      </c>
      <c r="BI25" s="541">
        <f>ROUND(BH25*BI$45, 0)</f>
        <v>11584</v>
      </c>
      <c r="BJ25" s="543">
        <v>11280</v>
      </c>
      <c r="BK25" s="541">
        <v>11280</v>
      </c>
      <c r="BL25" s="543">
        <v>11675</v>
      </c>
      <c r="BM25" s="541">
        <f>ROUND(BL25*BM$45, 0)</f>
        <v>12226</v>
      </c>
      <c r="BN25" s="543">
        <v>11966</v>
      </c>
      <c r="BO25" s="541">
        <f>ROUND(BN25*BO$45, 0)</f>
        <v>12319</v>
      </c>
      <c r="BP25" s="543">
        <v>12146</v>
      </c>
      <c r="BQ25" s="541">
        <f>ROUND(BP25*BQ$45, 0)</f>
        <v>12146</v>
      </c>
      <c r="BR25" s="539">
        <f>(BQ25-AW25)/BQ25</f>
        <v>0.25983863000164664</v>
      </c>
    </row>
    <row r="26" spans="1:70" ht="8.1" customHeight="1" x14ac:dyDescent="0.2">
      <c r="A26" s="444"/>
      <c r="B26" s="540"/>
      <c r="C26" s="546"/>
      <c r="D26" s="540"/>
      <c r="E26" s="546"/>
      <c r="F26" s="540"/>
      <c r="G26" s="546"/>
      <c r="H26" s="540"/>
      <c r="I26" s="546"/>
      <c r="J26" s="540"/>
      <c r="K26" s="546"/>
      <c r="L26" s="540"/>
      <c r="M26" s="546"/>
      <c r="N26" s="540"/>
      <c r="O26" s="546"/>
      <c r="P26" s="540"/>
      <c r="Q26" s="546"/>
      <c r="R26" s="540"/>
      <c r="S26" s="546"/>
      <c r="T26" s="540"/>
      <c r="U26" s="546"/>
      <c r="V26" s="540"/>
      <c r="W26" s="546"/>
      <c r="X26" s="540"/>
      <c r="Y26" s="546"/>
      <c r="Z26" s="540"/>
      <c r="AA26" s="546"/>
      <c r="AB26" s="486"/>
      <c r="AC26" s="546"/>
      <c r="AD26" s="542"/>
      <c r="AE26" s="546"/>
      <c r="AF26" s="540"/>
      <c r="AG26" s="546"/>
      <c r="AH26" s="540"/>
      <c r="AI26" s="546"/>
      <c r="AJ26" s="537"/>
      <c r="AK26" s="546"/>
      <c r="AL26" s="540"/>
      <c r="AM26" s="546"/>
      <c r="AN26" s="547"/>
      <c r="AO26" s="546"/>
      <c r="AP26" s="547"/>
      <c r="AQ26" s="546"/>
      <c r="AR26" s="547"/>
      <c r="AS26" s="546"/>
      <c r="AT26" s="544"/>
      <c r="AU26" s="546"/>
      <c r="AV26" s="489"/>
      <c r="AW26" s="546"/>
      <c r="AX26" s="547"/>
      <c r="AY26" s="546"/>
      <c r="AZ26" s="542"/>
      <c r="BA26" s="546"/>
      <c r="BB26" s="542"/>
      <c r="BC26" s="546"/>
      <c r="BD26" s="542"/>
      <c r="BE26" s="542"/>
      <c r="BF26" s="542"/>
      <c r="BG26" s="542"/>
      <c r="BH26" s="547"/>
      <c r="BI26" s="546"/>
      <c r="BJ26" s="547"/>
      <c r="BK26" s="546"/>
      <c r="BL26" s="547"/>
      <c r="BM26" s="546"/>
      <c r="BN26" s="547"/>
      <c r="BO26" s="546"/>
      <c r="BP26" s="547"/>
      <c r="BQ26" s="546"/>
      <c r="BR26" s="539"/>
    </row>
    <row r="27" spans="1:70" x14ac:dyDescent="0.2">
      <c r="A27" s="444" t="s">
        <v>145</v>
      </c>
      <c r="B27" s="540"/>
      <c r="C27" s="546"/>
      <c r="D27" s="540"/>
      <c r="E27" s="546"/>
      <c r="F27" s="540"/>
      <c r="G27" s="546"/>
      <c r="H27" s="540"/>
      <c r="I27" s="546"/>
      <c r="J27" s="540"/>
      <c r="K27" s="546"/>
      <c r="L27" s="540"/>
      <c r="M27" s="546"/>
      <c r="N27" s="540"/>
      <c r="O27" s="546"/>
      <c r="P27" s="540"/>
      <c r="Q27" s="546"/>
      <c r="R27" s="540"/>
      <c r="S27" s="546"/>
      <c r="T27" s="540"/>
      <c r="U27" s="546"/>
      <c r="V27" s="540"/>
      <c r="W27" s="546"/>
      <c r="X27" s="540"/>
      <c r="Y27" s="546"/>
      <c r="Z27" s="540"/>
      <c r="AA27" s="546"/>
      <c r="AB27" s="486"/>
      <c r="AC27" s="546"/>
      <c r="AD27" s="542"/>
      <c r="AE27" s="546"/>
      <c r="AF27" s="540"/>
      <c r="AG27" s="546"/>
      <c r="AH27" s="540"/>
      <c r="AI27" s="546"/>
      <c r="AJ27" s="537"/>
      <c r="AK27" s="546"/>
      <c r="AL27" s="540"/>
      <c r="AM27" s="546"/>
      <c r="AN27" s="547"/>
      <c r="AO27" s="546"/>
      <c r="AP27" s="547"/>
      <c r="AQ27" s="546"/>
      <c r="AR27" s="547"/>
      <c r="AS27" s="546"/>
      <c r="AT27" s="544"/>
      <c r="AU27" s="546"/>
      <c r="AV27" s="489"/>
      <c r="AW27" s="546"/>
      <c r="AX27" s="547"/>
      <c r="AY27" s="546"/>
      <c r="AZ27" s="542"/>
      <c r="BA27" s="546"/>
      <c r="BB27" s="542"/>
      <c r="BC27" s="546"/>
      <c r="BD27" s="542"/>
      <c r="BE27" s="542"/>
      <c r="BF27" s="542"/>
      <c r="BG27" s="542"/>
      <c r="BH27" s="547"/>
      <c r="BI27" s="546"/>
      <c r="BJ27" s="547"/>
      <c r="BK27" s="546"/>
      <c r="BL27" s="547"/>
      <c r="BM27" s="546"/>
      <c r="BN27" s="547"/>
      <c r="BO27" s="546"/>
      <c r="BP27" s="547"/>
      <c r="BQ27" s="546"/>
      <c r="BR27" s="539"/>
    </row>
    <row r="28" spans="1:70" x14ac:dyDescent="0.2">
      <c r="A28" s="444" t="s">
        <v>705</v>
      </c>
      <c r="B28" s="540">
        <v>240</v>
      </c>
      <c r="C28" s="541">
        <f>ROUND(B28*C$45, 0)</f>
        <v>1556</v>
      </c>
      <c r="D28" s="540">
        <v>330</v>
      </c>
      <c r="E28" s="541">
        <f>ROUND(D28*E$45, 0)</f>
        <v>1266</v>
      </c>
      <c r="F28" s="540">
        <v>351</v>
      </c>
      <c r="G28" s="541">
        <f>ROUND(F28*G$45, 0)</f>
        <v>1175</v>
      </c>
      <c r="H28" s="540">
        <v>820.29</v>
      </c>
      <c r="I28" s="541">
        <f>ROUND(H28*I$45, 0)</f>
        <v>1744</v>
      </c>
      <c r="J28" s="540">
        <v>877.71</v>
      </c>
      <c r="K28" s="541">
        <f>ROUND(J28*K$45, 0)</f>
        <v>1727</v>
      </c>
      <c r="L28" s="540"/>
      <c r="M28" s="541">
        <f>ROUND(L28*M$45, 0)</f>
        <v>0</v>
      </c>
      <c r="N28" s="540"/>
      <c r="O28" s="541">
        <f>ROUND(N28*O$45, 0)</f>
        <v>0</v>
      </c>
      <c r="P28" s="540"/>
      <c r="Q28" s="541">
        <f>ROUND(P28*Q$45, 0)</f>
        <v>0</v>
      </c>
      <c r="R28" s="540"/>
      <c r="S28" s="541">
        <f>ROUND(R28*S$45, 0)</f>
        <v>0</v>
      </c>
      <c r="T28" s="540"/>
      <c r="U28" s="541">
        <f>ROUND(T28*U$45, 0)</f>
        <v>0</v>
      </c>
      <c r="V28" s="540"/>
      <c r="W28" s="541">
        <f>ROUND(V28*W$45, 0)</f>
        <v>0</v>
      </c>
      <c r="X28" s="540"/>
      <c r="Y28" s="541">
        <f>ROUND(X28*Y$45, 0)</f>
        <v>0</v>
      </c>
      <c r="Z28" s="540"/>
      <c r="AA28" s="541">
        <f>ROUND(Z28*AA$45, 0)</f>
        <v>0</v>
      </c>
      <c r="AB28" s="486">
        <v>1110</v>
      </c>
      <c r="AC28" s="541">
        <f>ROUND(AB28*AC$45, 0)</f>
        <v>1714</v>
      </c>
      <c r="AD28" s="542">
        <v>1143.3599999999999</v>
      </c>
      <c r="AE28" s="541">
        <f>ROUND(AD28*AE$45, 0)</f>
        <v>1728</v>
      </c>
      <c r="AF28" s="540"/>
      <c r="AG28" s="541">
        <f>ROUND(AF28*AG$45, 0)</f>
        <v>0</v>
      </c>
      <c r="AH28" s="540"/>
      <c r="AI28" s="541">
        <f>ROUND(AH28*AI$45, 0)</f>
        <v>0</v>
      </c>
      <c r="AJ28" s="537">
        <v>1320</v>
      </c>
      <c r="AK28" s="541">
        <f>ROUND(AJ28*AK$45, 0)</f>
        <v>1847</v>
      </c>
      <c r="AL28" s="540">
        <v>1416</v>
      </c>
      <c r="AM28" s="541">
        <f>ROUND(AL28*AM$45, 0)</f>
        <v>1940</v>
      </c>
      <c r="AN28" s="543">
        <v>1524</v>
      </c>
      <c r="AO28" s="541">
        <f>ROUND(AN28*AO$45, 0)</f>
        <v>2028</v>
      </c>
      <c r="AP28" s="543">
        <v>1602</v>
      </c>
      <c r="AQ28" s="541">
        <f>ROUND(AP28*AQ$45, 0)</f>
        <v>2066</v>
      </c>
      <c r="AR28" s="543">
        <v>2100</v>
      </c>
      <c r="AS28" s="541">
        <f>ROUND(AR28*AS$45, 0)</f>
        <v>2601</v>
      </c>
      <c r="AT28" s="544">
        <v>2292</v>
      </c>
      <c r="AU28" s="541">
        <f>ROUND(AT28*AU$45, 0)</f>
        <v>2773</v>
      </c>
      <c r="AV28" s="489">
        <v>2442</v>
      </c>
      <c r="AW28" s="541">
        <f>ROUND(AV28*AW$45, 0)</f>
        <v>2798</v>
      </c>
      <c r="AX28" s="543">
        <v>2640</v>
      </c>
      <c r="AY28" s="541">
        <f>ROUND(AX28*AY$45, 0)</f>
        <v>3089</v>
      </c>
      <c r="AZ28" s="545">
        <v>2940</v>
      </c>
      <c r="BA28" s="541">
        <v>2940</v>
      </c>
      <c r="BB28" s="545">
        <v>3288</v>
      </c>
      <c r="BC28" s="541">
        <f>ROUND(BB28*BC$45, 0)</f>
        <v>3668</v>
      </c>
      <c r="BD28" s="545"/>
      <c r="BE28" s="545">
        <f>ROUND(BD28*BE$45, 0)</f>
        <v>0</v>
      </c>
      <c r="BF28" s="545">
        <v>3642</v>
      </c>
      <c r="BG28" s="545">
        <f>ROUND(BF28*BG$45, 0)</f>
        <v>3929</v>
      </c>
      <c r="BH28" s="543">
        <v>3794</v>
      </c>
      <c r="BI28" s="541">
        <f>ROUND(BH28*BI$45, 0)</f>
        <v>4013</v>
      </c>
      <c r="BJ28" s="543">
        <v>3908</v>
      </c>
      <c r="BK28" s="541">
        <v>3908</v>
      </c>
      <c r="BL28" s="543">
        <v>4103.5200000000004</v>
      </c>
      <c r="BM28" s="541">
        <f>ROUND(BL28*BM$45, 0)</f>
        <v>4297</v>
      </c>
      <c r="BN28" s="543">
        <v>4308</v>
      </c>
      <c r="BO28" s="541">
        <f>ROUND(BN28*BO$45, 0)</f>
        <v>4435</v>
      </c>
      <c r="BP28" s="543">
        <v>4458</v>
      </c>
      <c r="BQ28" s="541">
        <f>ROUND(BP28*BQ$45, 0)</f>
        <v>4458</v>
      </c>
      <c r="BR28" s="539">
        <f>(BQ28-AW28)/BQ28</f>
        <v>0.37236428891879769</v>
      </c>
    </row>
    <row r="29" spans="1:70" x14ac:dyDescent="0.2">
      <c r="A29" s="444" t="s">
        <v>708</v>
      </c>
      <c r="B29" s="540">
        <v>600</v>
      </c>
      <c r="C29" s="541">
        <f>ROUND(B29*C$45, 0)</f>
        <v>3891</v>
      </c>
      <c r="D29" s="540">
        <v>825</v>
      </c>
      <c r="E29" s="541">
        <f>ROUND(D29*E$45, 0)</f>
        <v>3164</v>
      </c>
      <c r="F29" s="540">
        <v>999</v>
      </c>
      <c r="G29" s="541">
        <f>ROUND(F29*G$45, 0)</f>
        <v>3345</v>
      </c>
      <c r="H29" s="540">
        <v>2624.94</v>
      </c>
      <c r="I29" s="541">
        <f>ROUND(H29*I$45, 0)</f>
        <v>5582</v>
      </c>
      <c r="J29" s="540">
        <v>2808.66</v>
      </c>
      <c r="K29" s="541">
        <f>ROUND(J29*K$45, 0)</f>
        <v>5527</v>
      </c>
      <c r="L29" s="540"/>
      <c r="M29" s="541">
        <f>ROUND(L29*M$45, 0)</f>
        <v>0</v>
      </c>
      <c r="N29" s="540"/>
      <c r="O29" s="541">
        <f>ROUND(N29*O$45, 0)</f>
        <v>0</v>
      </c>
      <c r="P29" s="540"/>
      <c r="Q29" s="541">
        <f>ROUND(P29*Q$45, 0)</f>
        <v>0</v>
      </c>
      <c r="R29" s="540"/>
      <c r="S29" s="541">
        <f>ROUND(R29*S$45, 0)</f>
        <v>0</v>
      </c>
      <c r="T29" s="540"/>
      <c r="U29" s="541">
        <f>ROUND(T29*U$45, 0)</f>
        <v>0</v>
      </c>
      <c r="V29" s="540"/>
      <c r="W29" s="541">
        <f>ROUND(V29*W$45, 0)</f>
        <v>0</v>
      </c>
      <c r="X29" s="540"/>
      <c r="Y29" s="541">
        <f>ROUND(X29*Y$45, 0)</f>
        <v>0</v>
      </c>
      <c r="Z29" s="540"/>
      <c r="AA29" s="541">
        <f>ROUND(Z29*AA$45, 0)</f>
        <v>0</v>
      </c>
      <c r="AB29" s="486">
        <v>4848</v>
      </c>
      <c r="AC29" s="541">
        <f>ROUND(AB29*AC$45, 0)</f>
        <v>7486</v>
      </c>
      <c r="AD29" s="542">
        <v>4992</v>
      </c>
      <c r="AE29" s="541">
        <f>ROUND(AD29*AE$45, 0)</f>
        <v>7547</v>
      </c>
      <c r="AF29" s="540"/>
      <c r="AG29" s="541">
        <f>ROUND(AF29*AG$45, 0)</f>
        <v>0</v>
      </c>
      <c r="AH29" s="540"/>
      <c r="AI29" s="541">
        <f>ROUND(AH29*AI$45, 0)</f>
        <v>0</v>
      </c>
      <c r="AJ29" s="537">
        <v>5760</v>
      </c>
      <c r="AK29" s="541">
        <f>ROUND(AJ29*AK$45, 0)</f>
        <v>8060</v>
      </c>
      <c r="AL29" s="540">
        <v>6192</v>
      </c>
      <c r="AM29" s="541">
        <f>ROUND(AL29*AM$45, 0)</f>
        <v>8485</v>
      </c>
      <c r="AN29" s="543">
        <v>6672</v>
      </c>
      <c r="AO29" s="541">
        <f>ROUND(AN29*AO$45, 0)</f>
        <v>8877</v>
      </c>
      <c r="AP29" s="543">
        <v>7008</v>
      </c>
      <c r="AQ29" s="541">
        <f>ROUND(AP29*AQ$45, 0)</f>
        <v>9038</v>
      </c>
      <c r="AR29" s="543">
        <v>8664</v>
      </c>
      <c r="AS29" s="541">
        <f>ROUND(AR29*AS$45, 0)</f>
        <v>10729</v>
      </c>
      <c r="AT29" s="544">
        <v>9011</v>
      </c>
      <c r="AU29" s="541">
        <f>ROUND(AT29*AU$45, 0)</f>
        <v>10902</v>
      </c>
      <c r="AV29" s="489">
        <v>9612</v>
      </c>
      <c r="AW29" s="541">
        <f>ROUND(AV29*AW$45, 0)</f>
        <v>11012</v>
      </c>
      <c r="AX29" s="543">
        <v>10392</v>
      </c>
      <c r="AY29" s="541">
        <f>ROUND(AX29*AY$45, 0)</f>
        <v>12161</v>
      </c>
      <c r="AZ29" s="545">
        <v>11568</v>
      </c>
      <c r="BA29" s="541">
        <v>11568</v>
      </c>
      <c r="BB29" s="545">
        <v>12936</v>
      </c>
      <c r="BC29" s="541">
        <f>ROUND(BB29*BC$45, 0)</f>
        <v>14430</v>
      </c>
      <c r="BD29" s="545"/>
      <c r="BE29" s="545">
        <f>ROUND(BD29*BE$45, 0)</f>
        <v>0</v>
      </c>
      <c r="BF29" s="545">
        <v>11664</v>
      </c>
      <c r="BG29" s="545">
        <f>ROUND(BF29*BG$45, 0)</f>
        <v>12583</v>
      </c>
      <c r="BH29" s="543">
        <v>12130</v>
      </c>
      <c r="BI29" s="541">
        <f>ROUND(BH29*BI$45, 0)</f>
        <v>12830</v>
      </c>
      <c r="BJ29" s="543">
        <v>12494</v>
      </c>
      <c r="BK29" s="541">
        <v>12494</v>
      </c>
      <c r="BL29" s="543">
        <v>13119</v>
      </c>
      <c r="BM29" s="541">
        <f>ROUND(BL29*BM$45, 0)</f>
        <v>13738</v>
      </c>
      <c r="BN29" s="543">
        <v>13776</v>
      </c>
      <c r="BO29" s="541">
        <f>ROUND(BN29*BO$45, 0)</f>
        <v>14182</v>
      </c>
      <c r="BP29" s="543">
        <v>14256</v>
      </c>
      <c r="BQ29" s="541">
        <f>ROUND(BP29*BQ$45, 0)</f>
        <v>14256</v>
      </c>
      <c r="BR29" s="539">
        <f>(BQ29-AW29)/BQ29</f>
        <v>0.22755331088664421</v>
      </c>
    </row>
    <row r="30" spans="1:70" ht="8.1" customHeight="1" x14ac:dyDescent="0.2">
      <c r="A30" s="444"/>
      <c r="B30" s="540"/>
      <c r="C30" s="546"/>
      <c r="D30" s="540"/>
      <c r="E30" s="546"/>
      <c r="F30" s="540"/>
      <c r="G30" s="546"/>
      <c r="H30" s="540"/>
      <c r="I30" s="546"/>
      <c r="J30" s="540"/>
      <c r="K30" s="546"/>
      <c r="L30" s="540"/>
      <c r="M30" s="546"/>
      <c r="N30" s="540"/>
      <c r="O30" s="546"/>
      <c r="P30" s="540"/>
      <c r="Q30" s="546"/>
      <c r="R30" s="540"/>
      <c r="S30" s="546"/>
      <c r="T30" s="540"/>
      <c r="U30" s="546"/>
      <c r="V30" s="540"/>
      <c r="W30" s="546"/>
      <c r="X30" s="540"/>
      <c r="Y30" s="546"/>
      <c r="Z30" s="540"/>
      <c r="AA30" s="546"/>
      <c r="AB30" s="540"/>
      <c r="AC30" s="546"/>
      <c r="AD30" s="542"/>
      <c r="AE30" s="546"/>
      <c r="AF30" s="540"/>
      <c r="AG30" s="546"/>
      <c r="AH30" s="540"/>
      <c r="AI30" s="546"/>
      <c r="AJ30" s="540"/>
      <c r="AK30" s="546"/>
      <c r="AL30" s="540"/>
      <c r="AM30" s="546"/>
      <c r="AN30" s="547"/>
      <c r="AO30" s="546"/>
      <c r="AP30" s="547"/>
      <c r="AQ30" s="546"/>
      <c r="AR30" s="547"/>
      <c r="AS30" s="546"/>
      <c r="AT30" s="544"/>
      <c r="AU30" s="546"/>
      <c r="AV30" s="489"/>
      <c r="AW30" s="546"/>
      <c r="AX30" s="547"/>
      <c r="AY30" s="546"/>
      <c r="AZ30" s="542"/>
      <c r="BA30" s="546"/>
      <c r="BB30" s="542"/>
      <c r="BC30" s="546"/>
      <c r="BD30" s="542"/>
      <c r="BE30" s="542"/>
      <c r="BF30" s="542"/>
      <c r="BG30" s="542"/>
      <c r="BH30" s="547"/>
      <c r="BI30" s="546"/>
      <c r="BJ30" s="547"/>
      <c r="BK30" s="546"/>
      <c r="BL30" s="547"/>
      <c r="BM30" s="546"/>
      <c r="BN30" s="547"/>
      <c r="BO30" s="546"/>
      <c r="BP30" s="547"/>
      <c r="BQ30" s="546"/>
      <c r="BR30" s="539"/>
    </row>
    <row r="31" spans="1:70" ht="12.75" hidden="1" customHeight="1" x14ac:dyDescent="0.2">
      <c r="A31" s="444" t="s">
        <v>711</v>
      </c>
      <c r="B31" s="540"/>
      <c r="C31" s="546"/>
      <c r="D31" s="540"/>
      <c r="E31" s="546"/>
      <c r="F31" s="540"/>
      <c r="G31" s="546"/>
      <c r="H31" s="540"/>
      <c r="I31" s="546"/>
      <c r="J31" s="540"/>
      <c r="K31" s="546"/>
      <c r="L31" s="540"/>
      <c r="M31" s="546"/>
      <c r="N31" s="540"/>
      <c r="O31" s="546"/>
      <c r="P31" s="540"/>
      <c r="Q31" s="546"/>
      <c r="R31" s="540"/>
      <c r="S31" s="546"/>
      <c r="T31" s="540"/>
      <c r="U31" s="546"/>
      <c r="V31" s="540"/>
      <c r="W31" s="546"/>
      <c r="X31" s="540"/>
      <c r="Y31" s="546"/>
      <c r="Z31" s="540"/>
      <c r="AA31" s="546"/>
      <c r="AB31" s="540"/>
      <c r="AC31" s="546"/>
      <c r="AD31" s="542"/>
      <c r="AE31" s="546"/>
      <c r="AF31" s="540"/>
      <c r="AG31" s="546"/>
      <c r="AH31" s="540"/>
      <c r="AI31" s="546"/>
      <c r="AJ31" s="540"/>
      <c r="AK31" s="546"/>
      <c r="AL31" s="540"/>
      <c r="AM31" s="546"/>
      <c r="AN31" s="547"/>
      <c r="AO31" s="546"/>
      <c r="AP31" s="547"/>
      <c r="AQ31" s="546"/>
      <c r="AR31" s="547"/>
      <c r="AS31" s="546"/>
      <c r="AT31" s="544"/>
      <c r="AU31" s="546"/>
      <c r="AV31" s="489"/>
      <c r="AW31" s="546"/>
      <c r="AX31" s="547"/>
      <c r="AY31" s="546"/>
      <c r="AZ31" s="542"/>
      <c r="BA31" s="546"/>
      <c r="BB31" s="542"/>
      <c r="BC31" s="546"/>
      <c r="BD31" s="542"/>
      <c r="BE31" s="542"/>
      <c r="BF31" s="542"/>
      <c r="BG31" s="542"/>
      <c r="BH31" s="547"/>
      <c r="BI31" s="546"/>
      <c r="BJ31" s="547"/>
      <c r="BK31" s="546"/>
      <c r="BL31" s="547"/>
      <c r="BM31" s="546"/>
      <c r="BN31" s="547"/>
      <c r="BO31" s="546"/>
      <c r="BP31" s="547"/>
      <c r="BQ31" s="546"/>
      <c r="BR31" s="539" t="e">
        <f t="shared" ref="BR31:BR34" si="0">(BM31-AY31)/AY31</f>
        <v>#DIV/0!</v>
      </c>
    </row>
    <row r="32" spans="1:70" ht="12.75" hidden="1" customHeight="1" x14ac:dyDescent="0.2">
      <c r="A32" s="444" t="s">
        <v>705</v>
      </c>
      <c r="B32" s="540">
        <v>240</v>
      </c>
      <c r="C32" s="541">
        <f>ROUND(B32*C$45, 0)</f>
        <v>1556</v>
      </c>
      <c r="D32" s="540"/>
      <c r="E32" s="541">
        <f>ROUND(D32*E$45, 0)</f>
        <v>0</v>
      </c>
      <c r="F32" s="540">
        <v>336</v>
      </c>
      <c r="G32" s="541">
        <f>ROUND(F32*G$45, 0)</f>
        <v>1125</v>
      </c>
      <c r="H32" s="540"/>
      <c r="I32" s="541">
        <f>ROUND(H32*I$45, 0)</f>
        <v>0</v>
      </c>
      <c r="J32" s="540">
        <v>750.3</v>
      </c>
      <c r="K32" s="541">
        <f>ROUND(J32*K$45, 0)</f>
        <v>1476</v>
      </c>
      <c r="L32" s="540"/>
      <c r="M32" s="541">
        <f>ROUND(L32*M$45, 0)</f>
        <v>0</v>
      </c>
      <c r="N32" s="540"/>
      <c r="O32" s="541">
        <f>ROUND(N32*O$45, 0)</f>
        <v>0</v>
      </c>
      <c r="P32" s="540"/>
      <c r="Q32" s="541">
        <f>ROUND(P32*Q$45, 0)</f>
        <v>0</v>
      </c>
      <c r="R32" s="540"/>
      <c r="S32" s="541">
        <f>ROUND(R32*S$45, 0)</f>
        <v>0</v>
      </c>
      <c r="T32" s="540"/>
      <c r="U32" s="541">
        <f>ROUND(T32*U$45, 0)</f>
        <v>0</v>
      </c>
      <c r="V32" s="540"/>
      <c r="W32" s="541">
        <f>ROUND(V32*W$45, 0)</f>
        <v>0</v>
      </c>
      <c r="X32" s="540"/>
      <c r="Y32" s="541">
        <f>ROUND(X32*Y$45, 0)</f>
        <v>0</v>
      </c>
      <c r="Z32" s="540"/>
      <c r="AA32" s="541">
        <f>ROUND(Z32*AA$45, 0)</f>
        <v>0</v>
      </c>
      <c r="AB32" s="540"/>
      <c r="AC32" s="541">
        <f>ROUND(AB32*AC$45, 0)</f>
        <v>0</v>
      </c>
      <c r="AD32" s="542">
        <v>1094</v>
      </c>
      <c r="AE32" s="541">
        <f>ROUND(AD32*AE$45, 0)</f>
        <v>1654</v>
      </c>
      <c r="AF32" s="540"/>
      <c r="AG32" s="541">
        <f>ROUND(AF32*AG$45, 0)</f>
        <v>0</v>
      </c>
      <c r="AH32" s="540"/>
      <c r="AI32" s="541">
        <f>ROUND(AH32*AI$45, 0)</f>
        <v>0</v>
      </c>
      <c r="AJ32" s="540"/>
      <c r="AK32" s="541">
        <f>ROUND(AJ32*AK$45, 0)</f>
        <v>0</v>
      </c>
      <c r="AL32" s="540">
        <v>1406</v>
      </c>
      <c r="AM32" s="541">
        <f>ROUND(AL32*AM$45, 0)</f>
        <v>1927</v>
      </c>
      <c r="AN32" s="543">
        <v>1505</v>
      </c>
      <c r="AO32" s="541">
        <f>ROUND(AN32*AO$45, 0)</f>
        <v>2002</v>
      </c>
      <c r="AP32" s="543">
        <v>1611.3</v>
      </c>
      <c r="AQ32" s="541">
        <f>ROUND(AP32*AQ$45, 0)</f>
        <v>2078</v>
      </c>
      <c r="AR32" s="543">
        <v>1749</v>
      </c>
      <c r="AS32" s="541">
        <f>ROUND(AR32*AS$45, 0)</f>
        <v>2166</v>
      </c>
      <c r="AT32" s="544">
        <v>1819</v>
      </c>
      <c r="AU32" s="541">
        <f>ROUND(AT32*AU$45, 0)</f>
        <v>2201</v>
      </c>
      <c r="AV32" s="489">
        <v>1900</v>
      </c>
      <c r="AW32" s="541">
        <f>ROUND(AV32*AW$45, 0)</f>
        <v>2177</v>
      </c>
      <c r="AX32" s="543">
        <v>2070</v>
      </c>
      <c r="AY32" s="541">
        <f>ROUND(AX32*AY$45, 0)</f>
        <v>2422</v>
      </c>
      <c r="AZ32" s="545">
        <v>2270</v>
      </c>
      <c r="BA32" s="541">
        <v>2270</v>
      </c>
      <c r="BB32" s="545">
        <v>2472</v>
      </c>
      <c r="BC32" s="541">
        <f>ROUND(BB32*BC$45, 0)</f>
        <v>2757</v>
      </c>
      <c r="BD32" s="545"/>
      <c r="BE32" s="545">
        <f>ROUND(BD32*BE$45, 0)</f>
        <v>0</v>
      </c>
      <c r="BF32" s="545"/>
      <c r="BG32" s="545">
        <f>ROUND(BF32*BG$45, 0)</f>
        <v>0</v>
      </c>
      <c r="BH32" s="543">
        <v>2751.36</v>
      </c>
      <c r="BI32" s="541">
        <f>ROUND(BH32*BI$45, 0)</f>
        <v>2910</v>
      </c>
      <c r="BJ32" s="543">
        <v>0</v>
      </c>
      <c r="BK32" s="541">
        <v>0</v>
      </c>
      <c r="BL32" s="543">
        <v>0</v>
      </c>
      <c r="BM32" s="541">
        <f>ROUND(BL32*BM$45, 0)</f>
        <v>0</v>
      </c>
      <c r="BN32" s="543"/>
      <c r="BO32" s="541">
        <f>ROUND(BN32*BO$45, 0)</f>
        <v>0</v>
      </c>
      <c r="BP32" s="543">
        <v>0</v>
      </c>
      <c r="BQ32" s="541">
        <f>ROUND(BP32*BQ$45, 0)</f>
        <v>0</v>
      </c>
      <c r="BR32" s="539">
        <f t="shared" si="0"/>
        <v>-1</v>
      </c>
    </row>
    <row r="33" spans="1:70" ht="12.75" hidden="1" customHeight="1" x14ac:dyDescent="0.2">
      <c r="A33" s="444" t="s">
        <v>708</v>
      </c>
      <c r="B33" s="540">
        <v>600</v>
      </c>
      <c r="C33" s="541">
        <f>ROUND(B33*C$45, 0)</f>
        <v>3891</v>
      </c>
      <c r="D33" s="540"/>
      <c r="E33" s="541">
        <f>ROUND(D33*E$45, 0)</f>
        <v>0</v>
      </c>
      <c r="F33" s="540">
        <v>999</v>
      </c>
      <c r="G33" s="541">
        <f>ROUND(F33*G$45, 0)</f>
        <v>3345</v>
      </c>
      <c r="H33" s="540"/>
      <c r="I33" s="541">
        <f>ROUND(H33*I$45, 0)</f>
        <v>0</v>
      </c>
      <c r="J33" s="540">
        <v>2403</v>
      </c>
      <c r="K33" s="541">
        <f>ROUND(J33*K$45, 0)</f>
        <v>4728</v>
      </c>
      <c r="L33" s="540"/>
      <c r="M33" s="541">
        <f>ROUND(L33*M$45, 0)</f>
        <v>0</v>
      </c>
      <c r="N33" s="540"/>
      <c r="O33" s="541">
        <f>ROUND(N33*O$45, 0)</f>
        <v>0</v>
      </c>
      <c r="P33" s="540"/>
      <c r="Q33" s="541">
        <f>ROUND(P33*Q$45, 0)</f>
        <v>0</v>
      </c>
      <c r="R33" s="540"/>
      <c r="S33" s="541">
        <f>ROUND(R33*S$45, 0)</f>
        <v>0</v>
      </c>
      <c r="T33" s="540"/>
      <c r="U33" s="541">
        <f>ROUND(T33*U$45, 0)</f>
        <v>0</v>
      </c>
      <c r="V33" s="540"/>
      <c r="W33" s="541">
        <f>ROUND(V33*W$45, 0)</f>
        <v>0</v>
      </c>
      <c r="X33" s="540"/>
      <c r="Y33" s="541">
        <f>ROUND(X33*Y$45, 0)</f>
        <v>0</v>
      </c>
      <c r="Z33" s="540"/>
      <c r="AA33" s="541">
        <f>ROUND(Z33*AA$45, 0)</f>
        <v>0</v>
      </c>
      <c r="AB33" s="540"/>
      <c r="AC33" s="541">
        <f>ROUND(AB33*AC$45, 0)</f>
        <v>0</v>
      </c>
      <c r="AD33" s="542">
        <v>4576</v>
      </c>
      <c r="AE33" s="541">
        <f>ROUND(AD33*AE$45, 0)</f>
        <v>6918</v>
      </c>
      <c r="AF33" s="540"/>
      <c r="AG33" s="541">
        <f>ROUND(AF33*AG$45, 0)</f>
        <v>0</v>
      </c>
      <c r="AH33" s="540"/>
      <c r="AI33" s="541">
        <f>ROUND(AH33*AI$45, 0)</f>
        <v>0</v>
      </c>
      <c r="AJ33" s="540"/>
      <c r="AK33" s="541">
        <f>ROUND(AJ33*AK$45, 0)</f>
        <v>0</v>
      </c>
      <c r="AL33" s="540">
        <v>5894</v>
      </c>
      <c r="AM33" s="541">
        <f>ROUND(AL33*AM$45, 0)</f>
        <v>8077</v>
      </c>
      <c r="AN33" s="543">
        <v>6309</v>
      </c>
      <c r="AO33" s="541">
        <f>ROUND(AN33*AO$45, 0)</f>
        <v>8394</v>
      </c>
      <c r="AP33" s="543">
        <v>6752</v>
      </c>
      <c r="AQ33" s="541">
        <f>ROUND(AP33*AQ$45, 0)</f>
        <v>8708</v>
      </c>
      <c r="AR33" s="543">
        <v>7328.6</v>
      </c>
      <c r="AS33" s="541">
        <f>ROUND(AR33*AS$45, 0)</f>
        <v>9075</v>
      </c>
      <c r="AT33" s="544">
        <v>7622</v>
      </c>
      <c r="AU33" s="541">
        <f>ROUND(AT33*AU$45, 0)</f>
        <v>9221</v>
      </c>
      <c r="AV33" s="489">
        <v>3800</v>
      </c>
      <c r="AW33" s="541">
        <f>ROUND(AV33*AW$45, 0)</f>
        <v>4354</v>
      </c>
      <c r="AX33" s="543">
        <v>4140</v>
      </c>
      <c r="AY33" s="541">
        <f>ROUND(AX33*AY$45, 0)</f>
        <v>4845</v>
      </c>
      <c r="AZ33" s="545">
        <v>4540</v>
      </c>
      <c r="BA33" s="541">
        <v>4540</v>
      </c>
      <c r="BB33" s="545">
        <v>4944</v>
      </c>
      <c r="BC33" s="541">
        <f>ROUND(BB33*BC$45, 0)</f>
        <v>5515</v>
      </c>
      <c r="BD33" s="545"/>
      <c r="BE33" s="545">
        <f>ROUND(BD33*BE$45, 0)</f>
        <v>0</v>
      </c>
      <c r="BF33" s="545"/>
      <c r="BG33" s="545">
        <f>ROUND(BF33*BG$45, 0)</f>
        <v>0</v>
      </c>
      <c r="BH33" s="543">
        <v>5502.72</v>
      </c>
      <c r="BI33" s="541">
        <f>ROUND(BH33*BI$45, 0)</f>
        <v>5820</v>
      </c>
      <c r="BJ33" s="543">
        <v>0</v>
      </c>
      <c r="BK33" s="541">
        <v>0</v>
      </c>
      <c r="BL33" s="543">
        <v>0</v>
      </c>
      <c r="BM33" s="541">
        <f>ROUND(BL33*BM$45, 0)</f>
        <v>0</v>
      </c>
      <c r="BN33" s="543"/>
      <c r="BO33" s="541">
        <f>ROUND(BN33*BO$45, 0)</f>
        <v>0</v>
      </c>
      <c r="BP33" s="543">
        <v>0</v>
      </c>
      <c r="BQ33" s="541">
        <f>ROUND(BP33*BQ$45, 0)</f>
        <v>0</v>
      </c>
      <c r="BR33" s="539">
        <f t="shared" si="0"/>
        <v>-1</v>
      </c>
    </row>
    <row r="34" spans="1:70" ht="8.1" hidden="1" customHeight="1" x14ac:dyDescent="0.2">
      <c r="A34" s="444"/>
      <c r="B34" s="540"/>
      <c r="C34" s="546"/>
      <c r="D34" s="540"/>
      <c r="E34" s="546"/>
      <c r="F34" s="540"/>
      <c r="G34" s="546"/>
      <c r="H34" s="540"/>
      <c r="I34" s="546"/>
      <c r="J34" s="540"/>
      <c r="K34" s="546"/>
      <c r="L34" s="540"/>
      <c r="M34" s="546"/>
      <c r="N34" s="540"/>
      <c r="O34" s="546"/>
      <c r="P34" s="540"/>
      <c r="Q34" s="546"/>
      <c r="R34" s="540"/>
      <c r="S34" s="546"/>
      <c r="T34" s="540"/>
      <c r="U34" s="546"/>
      <c r="V34" s="540"/>
      <c r="W34" s="546"/>
      <c r="X34" s="540"/>
      <c r="Y34" s="546"/>
      <c r="Z34" s="540"/>
      <c r="AA34" s="546"/>
      <c r="AB34" s="540"/>
      <c r="AC34" s="546"/>
      <c r="AD34" s="542"/>
      <c r="AE34" s="546"/>
      <c r="AF34" s="540"/>
      <c r="AG34" s="546"/>
      <c r="AH34" s="540"/>
      <c r="AI34" s="546"/>
      <c r="AJ34" s="540"/>
      <c r="AK34" s="546"/>
      <c r="AL34" s="540"/>
      <c r="AM34" s="546"/>
      <c r="AN34" s="547"/>
      <c r="AO34" s="546"/>
      <c r="AP34" s="547"/>
      <c r="AQ34" s="546"/>
      <c r="AR34" s="547"/>
      <c r="AS34" s="546"/>
      <c r="AT34" s="544"/>
      <c r="AU34" s="546"/>
      <c r="AV34" s="489"/>
      <c r="AW34" s="546"/>
      <c r="AX34" s="547"/>
      <c r="AY34" s="546"/>
      <c r="AZ34" s="542"/>
      <c r="BA34" s="546"/>
      <c r="BB34" s="542"/>
      <c r="BC34" s="546"/>
      <c r="BD34" s="542"/>
      <c r="BE34" s="542"/>
      <c r="BF34" s="542"/>
      <c r="BG34" s="542"/>
      <c r="BH34" s="547"/>
      <c r="BI34" s="546"/>
      <c r="BJ34" s="547"/>
      <c r="BK34" s="546"/>
      <c r="BL34" s="547"/>
      <c r="BM34" s="546"/>
      <c r="BN34" s="547"/>
      <c r="BO34" s="546"/>
      <c r="BP34" s="547"/>
      <c r="BQ34" s="546"/>
      <c r="BR34" s="539" t="e">
        <f t="shared" si="0"/>
        <v>#DIV/0!</v>
      </c>
    </row>
    <row r="35" spans="1:70" x14ac:dyDescent="0.2">
      <c r="A35" s="548" t="s">
        <v>8</v>
      </c>
      <c r="B35" s="540"/>
      <c r="C35" s="546"/>
      <c r="D35" s="540"/>
      <c r="E35" s="546"/>
      <c r="F35" s="540"/>
      <c r="G35" s="546"/>
      <c r="H35" s="540"/>
      <c r="I35" s="546"/>
      <c r="J35" s="540"/>
      <c r="K35" s="546"/>
      <c r="L35" s="540"/>
      <c r="M35" s="546"/>
      <c r="N35" s="540"/>
      <c r="O35" s="546"/>
      <c r="P35" s="540"/>
      <c r="Q35" s="546"/>
      <c r="R35" s="540"/>
      <c r="S35" s="546"/>
      <c r="T35" s="540"/>
      <c r="U35" s="546"/>
      <c r="V35" s="540"/>
      <c r="W35" s="546"/>
      <c r="X35" s="540"/>
      <c r="Y35" s="546"/>
      <c r="Z35" s="540"/>
      <c r="AA35" s="546"/>
      <c r="AB35" s="540"/>
      <c r="AC35" s="546"/>
      <c r="AD35" s="542"/>
      <c r="AE35" s="546"/>
      <c r="AF35" s="540"/>
      <c r="AG35" s="546"/>
      <c r="AH35" s="540"/>
      <c r="AI35" s="546"/>
      <c r="AJ35" s="540"/>
      <c r="AK35" s="546"/>
      <c r="AL35" s="540"/>
      <c r="AM35" s="546"/>
      <c r="AN35" s="547"/>
      <c r="AO35" s="546"/>
      <c r="AP35" s="547"/>
      <c r="AQ35" s="546"/>
      <c r="AR35" s="547"/>
      <c r="AS35" s="546"/>
      <c r="AT35" s="544"/>
      <c r="AU35" s="546"/>
      <c r="AV35" s="489"/>
      <c r="AW35" s="546"/>
      <c r="AX35" s="547"/>
      <c r="AY35" s="546"/>
      <c r="AZ35" s="542"/>
      <c r="BA35" s="546"/>
      <c r="BB35" s="542"/>
      <c r="BC35" s="546"/>
      <c r="BD35" s="542"/>
      <c r="BE35" s="542"/>
      <c r="BF35" s="542"/>
      <c r="BG35" s="542"/>
      <c r="BH35" s="547"/>
      <c r="BI35" s="546"/>
      <c r="BJ35" s="547"/>
      <c r="BK35" s="546"/>
      <c r="BL35" s="547"/>
      <c r="BM35" s="546"/>
      <c r="BN35" s="547"/>
      <c r="BO35" s="546"/>
      <c r="BP35" s="547"/>
      <c r="BQ35" s="546"/>
      <c r="BR35" s="539"/>
    </row>
    <row r="36" spans="1:70" x14ac:dyDescent="0.2">
      <c r="A36" s="444" t="s">
        <v>705</v>
      </c>
      <c r="B36" s="540">
        <v>252</v>
      </c>
      <c r="C36" s="541">
        <f>ROUND(B36*C$45, 0)</f>
        <v>1634</v>
      </c>
      <c r="D36" s="540">
        <v>330</v>
      </c>
      <c r="E36" s="541">
        <f>ROUND(D36*E$45, 0)</f>
        <v>1266</v>
      </c>
      <c r="F36" s="540">
        <v>351</v>
      </c>
      <c r="G36" s="541">
        <f>ROUND(F36*G$45, 0)</f>
        <v>1175</v>
      </c>
      <c r="H36" s="540">
        <v>861</v>
      </c>
      <c r="I36" s="541">
        <f>ROUND(H36*I$45, 0)</f>
        <v>1831</v>
      </c>
      <c r="J36" s="540">
        <v>930</v>
      </c>
      <c r="K36" s="541">
        <f>ROUND(J36*K$45, 0)</f>
        <v>1830</v>
      </c>
      <c r="L36" s="540"/>
      <c r="M36" s="541">
        <f>ROUND(L36*M$45, 0)</f>
        <v>0</v>
      </c>
      <c r="N36" s="540"/>
      <c r="O36" s="541">
        <f>ROUND(N36*O$45, 0)</f>
        <v>0</v>
      </c>
      <c r="P36" s="540"/>
      <c r="Q36" s="541">
        <f>ROUND(P36*Q$45, 0)</f>
        <v>0</v>
      </c>
      <c r="R36" s="540"/>
      <c r="S36" s="541">
        <f>ROUND(R36*S$45, 0)</f>
        <v>0</v>
      </c>
      <c r="T36" s="540"/>
      <c r="U36" s="541">
        <f>ROUND(T36*U$45, 0)</f>
        <v>0</v>
      </c>
      <c r="V36" s="540"/>
      <c r="W36" s="541">
        <f>ROUND(V36*W$45, 0)</f>
        <v>0</v>
      </c>
      <c r="X36" s="540"/>
      <c r="Y36" s="541">
        <f>ROUND(X36*Y$45, 0)</f>
        <v>0</v>
      </c>
      <c r="Z36" s="540"/>
      <c r="AA36" s="541">
        <f>ROUND(Z36*AA$45, 0)</f>
        <v>0</v>
      </c>
      <c r="AB36" s="486">
        <v>1272</v>
      </c>
      <c r="AC36" s="541">
        <f>ROUND(AB36*AC$45, 0)</f>
        <v>1964</v>
      </c>
      <c r="AD36" s="542">
        <v>1310</v>
      </c>
      <c r="AE36" s="541">
        <f>ROUND(AD36*AE$45, 0)</f>
        <v>1980</v>
      </c>
      <c r="AF36" s="540"/>
      <c r="AG36" s="541">
        <f>ROUND(AF36*AG$45, 0)</f>
        <v>0</v>
      </c>
      <c r="AH36" s="540"/>
      <c r="AI36" s="541">
        <f>ROUND(AH36*AI$45, 0)</f>
        <v>0</v>
      </c>
      <c r="AJ36" s="537">
        <v>1842</v>
      </c>
      <c r="AK36" s="541">
        <f>ROUND(AJ36*AK$45, 0)</f>
        <v>2577</v>
      </c>
      <c r="AL36" s="540">
        <v>2072</v>
      </c>
      <c r="AM36" s="541">
        <f>ROUND(AL36*AM$45, 0)</f>
        <v>2839</v>
      </c>
      <c r="AN36" s="543">
        <v>2372</v>
      </c>
      <c r="AO36" s="541">
        <f>ROUND(AN36*AO$45, 0)</f>
        <v>3156</v>
      </c>
      <c r="AP36" s="543">
        <v>2580</v>
      </c>
      <c r="AQ36" s="541">
        <f>ROUND(AP36*AQ$45, 0)</f>
        <v>3327</v>
      </c>
      <c r="AR36" s="543">
        <v>2812</v>
      </c>
      <c r="AS36" s="541">
        <f>ROUND(AR36*AS$45, 0)</f>
        <v>3482</v>
      </c>
      <c r="AT36" s="544">
        <v>3000</v>
      </c>
      <c r="AU36" s="541">
        <f>ROUND(AT36*AU$45, 0)</f>
        <v>3629</v>
      </c>
      <c r="AV36" s="489">
        <v>3188</v>
      </c>
      <c r="AW36" s="541">
        <f>ROUND(AV36*AW$45, 0)</f>
        <v>3652</v>
      </c>
      <c r="AX36" s="543">
        <v>3464</v>
      </c>
      <c r="AY36" s="541">
        <f>ROUND(AX36*AY$45, 0)</f>
        <v>4054</v>
      </c>
      <c r="AZ36" s="545">
        <v>3672</v>
      </c>
      <c r="BA36" s="541">
        <v>3672</v>
      </c>
      <c r="BB36" s="545">
        <v>3944</v>
      </c>
      <c r="BC36" s="541">
        <f>ROUND(BB36*BC$45, 0)</f>
        <v>4399</v>
      </c>
      <c r="BD36" s="545"/>
      <c r="BE36" s="545">
        <f>ROUND(BD36*BE$45, 0)</f>
        <v>0</v>
      </c>
      <c r="BF36" s="545">
        <v>4368</v>
      </c>
      <c r="BG36" s="545">
        <f>ROUND(BF36*BG$45, 0)</f>
        <v>4712</v>
      </c>
      <c r="BH36" s="543">
        <v>4542</v>
      </c>
      <c r="BI36" s="541">
        <f>ROUND(BH36*BI$45, 0)</f>
        <v>4804</v>
      </c>
      <c r="BJ36" s="543">
        <v>4678</v>
      </c>
      <c r="BK36" s="541">
        <v>4678</v>
      </c>
      <c r="BL36" s="543">
        <v>4840</v>
      </c>
      <c r="BM36" s="541">
        <f>ROUND(BL36*BM$45, 0)</f>
        <v>5068</v>
      </c>
      <c r="BN36" s="543">
        <v>4962</v>
      </c>
      <c r="BO36" s="541">
        <f>ROUND(BN36*BO$45, 0)</f>
        <v>5108</v>
      </c>
      <c r="BP36" s="543">
        <v>5036</v>
      </c>
      <c r="BQ36" s="541">
        <f>ROUND(BP36*BQ$45, 0)</f>
        <v>5036</v>
      </c>
      <c r="BR36" s="539">
        <f>(BQ36-AW36)/BQ36</f>
        <v>0.27482128673550438</v>
      </c>
    </row>
    <row r="37" spans="1:70" x14ac:dyDescent="0.2">
      <c r="A37" s="444" t="s">
        <v>708</v>
      </c>
      <c r="B37" s="540">
        <v>879</v>
      </c>
      <c r="C37" s="541">
        <f>ROUND(B37*C$45, 0)</f>
        <v>5700</v>
      </c>
      <c r="D37" s="540">
        <v>975</v>
      </c>
      <c r="E37" s="541">
        <f>ROUND(D37*E$45, 0)</f>
        <v>3740</v>
      </c>
      <c r="F37" s="540">
        <v>1053</v>
      </c>
      <c r="G37" s="541">
        <f>ROUND(F37*G$45, 0)</f>
        <v>3526</v>
      </c>
      <c r="H37" s="540">
        <v>2757</v>
      </c>
      <c r="I37" s="541">
        <f>ROUND(H37*I$45, 0)</f>
        <v>5863</v>
      </c>
      <c r="J37" s="540">
        <v>2976</v>
      </c>
      <c r="K37" s="541">
        <f>ROUND(J37*K$45, 0)</f>
        <v>5856</v>
      </c>
      <c r="L37" s="540"/>
      <c r="M37" s="541">
        <f>ROUND(L37*M$45, 0)</f>
        <v>0</v>
      </c>
      <c r="N37" s="540"/>
      <c r="O37" s="541">
        <f>ROUND(N37*O$45, 0)</f>
        <v>0</v>
      </c>
      <c r="P37" s="540"/>
      <c r="Q37" s="541">
        <f>ROUND(P37*Q$45, 0)</f>
        <v>0</v>
      </c>
      <c r="R37" s="540"/>
      <c r="S37" s="541">
        <f>ROUND(R37*S$45, 0)</f>
        <v>0</v>
      </c>
      <c r="T37" s="540"/>
      <c r="U37" s="541">
        <f>ROUND(T37*U$45, 0)</f>
        <v>0</v>
      </c>
      <c r="V37" s="540"/>
      <c r="W37" s="541">
        <f>ROUND(V37*W$45, 0)</f>
        <v>0</v>
      </c>
      <c r="X37" s="540"/>
      <c r="Y37" s="541">
        <f>ROUND(X37*Y$45, 0)</f>
        <v>0</v>
      </c>
      <c r="Z37" s="540"/>
      <c r="AA37" s="541">
        <f>ROUND(Z37*AA$45, 0)</f>
        <v>0</v>
      </c>
      <c r="AB37" s="486">
        <v>4614</v>
      </c>
      <c r="AC37" s="541">
        <f>ROUND(AB37*AC$45, 0)</f>
        <v>7125</v>
      </c>
      <c r="AD37" s="542">
        <v>4752</v>
      </c>
      <c r="AE37" s="541">
        <f>ROUND(AD37*AE$45, 0)</f>
        <v>7184</v>
      </c>
      <c r="AF37" s="540"/>
      <c r="AG37" s="541">
        <f>ROUND(AF37*AG$45, 0)</f>
        <v>0</v>
      </c>
      <c r="AH37" s="540"/>
      <c r="AI37" s="541">
        <f>ROUND(AH37*AI$45, 0)</f>
        <v>0</v>
      </c>
      <c r="AJ37" s="537">
        <v>6448</v>
      </c>
      <c r="AK37" s="541">
        <f>ROUND(AJ37*AK$45, 0)</f>
        <v>9022</v>
      </c>
      <c r="AL37" s="540">
        <v>7252</v>
      </c>
      <c r="AM37" s="541">
        <f>ROUND(AL37*AM$45, 0)</f>
        <v>9938</v>
      </c>
      <c r="AN37" s="543">
        <v>8302</v>
      </c>
      <c r="AO37" s="541">
        <f>ROUND(AN37*AO$45, 0)</f>
        <v>11046</v>
      </c>
      <c r="AP37" s="543">
        <v>9030</v>
      </c>
      <c r="AQ37" s="541">
        <f>ROUND(AP37*AQ$45, 0)</f>
        <v>11646</v>
      </c>
      <c r="AR37" s="543">
        <v>9842</v>
      </c>
      <c r="AS37" s="541">
        <f>ROUND(AR37*AS$45, 0)</f>
        <v>12188</v>
      </c>
      <c r="AT37" s="544">
        <v>10501</v>
      </c>
      <c r="AU37" s="541">
        <f>ROUND(AT37*AU$45, 0)</f>
        <v>12704</v>
      </c>
      <c r="AV37" s="489">
        <v>10950</v>
      </c>
      <c r="AW37" s="541">
        <f>ROUND(AV37*AW$45, 0)</f>
        <v>12545</v>
      </c>
      <c r="AX37" s="543">
        <v>11304</v>
      </c>
      <c r="AY37" s="541">
        <f>ROUND(AX37*AY$45, 0)</f>
        <v>13228</v>
      </c>
      <c r="AZ37" s="545">
        <v>11630</v>
      </c>
      <c r="BA37" s="541">
        <v>11630</v>
      </c>
      <c r="BB37" s="545">
        <v>12300</v>
      </c>
      <c r="BC37" s="541">
        <f>ROUND(BB37*BC$45, 0)</f>
        <v>13720</v>
      </c>
      <c r="BD37" s="545"/>
      <c r="BE37" s="545">
        <f>ROUND(BD37*BE$45, 0)</f>
        <v>0</v>
      </c>
      <c r="BF37" s="545">
        <v>13538</v>
      </c>
      <c r="BG37" s="545">
        <f>ROUND(BF37*BG$45, 0)</f>
        <v>14605</v>
      </c>
      <c r="BH37" s="543">
        <v>14074</v>
      </c>
      <c r="BI37" s="541">
        <f>ROUND(BH37*BI$45, 0)</f>
        <v>14887</v>
      </c>
      <c r="BJ37" s="543">
        <v>14494</v>
      </c>
      <c r="BK37" s="541">
        <v>14494</v>
      </c>
      <c r="BL37" s="543">
        <v>15000</v>
      </c>
      <c r="BM37" s="541">
        <f>ROUND(BL37*BM$45, 0)</f>
        <v>15708</v>
      </c>
      <c r="BN37" s="543">
        <v>15376</v>
      </c>
      <c r="BO37" s="541">
        <f>ROUND(BN37*BO$45, 0)</f>
        <v>15830</v>
      </c>
      <c r="BP37" s="543">
        <v>15606</v>
      </c>
      <c r="BQ37" s="541">
        <f>ROUND(BP37*BQ$45, 0)</f>
        <v>15606</v>
      </c>
      <c r="BR37" s="539">
        <f>(BQ37-AW37)/BQ37</f>
        <v>0.19614250929129823</v>
      </c>
    </row>
    <row r="38" spans="1:70" ht="8.1" customHeight="1" x14ac:dyDescent="0.2">
      <c r="A38" s="444" t="s">
        <v>712</v>
      </c>
      <c r="B38" s="540"/>
      <c r="C38" s="546"/>
      <c r="D38" s="540"/>
      <c r="E38" s="546"/>
      <c r="F38" s="540"/>
      <c r="G38" s="546"/>
      <c r="H38" s="540"/>
      <c r="I38" s="546"/>
      <c r="J38" s="540"/>
      <c r="K38" s="546"/>
      <c r="L38" s="540"/>
      <c r="M38" s="546"/>
      <c r="N38" s="540"/>
      <c r="O38" s="546"/>
      <c r="P38" s="540"/>
      <c r="Q38" s="546"/>
      <c r="R38" s="540"/>
      <c r="S38" s="546"/>
      <c r="T38" s="540"/>
      <c r="U38" s="546"/>
      <c r="V38" s="540"/>
      <c r="W38" s="546"/>
      <c r="X38" s="540"/>
      <c r="Y38" s="546"/>
      <c r="Z38" s="540"/>
      <c r="AA38" s="546"/>
      <c r="AB38" s="486"/>
      <c r="AC38" s="546"/>
      <c r="AD38" s="542"/>
      <c r="AE38" s="546"/>
      <c r="AF38" s="540"/>
      <c r="AG38" s="546"/>
      <c r="AH38" s="540"/>
      <c r="AI38" s="546"/>
      <c r="AJ38" s="537"/>
      <c r="AK38" s="546"/>
      <c r="AL38" s="540"/>
      <c r="AM38" s="546"/>
      <c r="AN38" s="547"/>
      <c r="AO38" s="546"/>
      <c r="AP38" s="547"/>
      <c r="AQ38" s="546"/>
      <c r="AR38" s="547"/>
      <c r="AS38" s="546"/>
      <c r="AT38" s="544"/>
      <c r="AU38" s="546"/>
      <c r="AV38" s="489"/>
      <c r="AW38" s="546"/>
      <c r="AX38" s="547"/>
      <c r="AY38" s="546"/>
      <c r="AZ38" s="542"/>
      <c r="BA38" s="546"/>
      <c r="BB38" s="542"/>
      <c r="BC38" s="546"/>
      <c r="BD38" s="542"/>
      <c r="BE38" s="542"/>
      <c r="BF38" s="542"/>
      <c r="BG38" s="542"/>
      <c r="BH38" s="547"/>
      <c r="BI38" s="546"/>
      <c r="BJ38" s="547"/>
      <c r="BK38" s="546"/>
      <c r="BL38" s="547"/>
      <c r="BM38" s="546"/>
      <c r="BN38" s="547"/>
      <c r="BO38" s="546"/>
      <c r="BP38" s="547"/>
      <c r="BQ38" s="546"/>
      <c r="BR38" s="539"/>
    </row>
    <row r="39" spans="1:70" x14ac:dyDescent="0.2">
      <c r="A39" s="444" t="s">
        <v>9</v>
      </c>
      <c r="B39" s="540"/>
      <c r="C39" s="546"/>
      <c r="D39" s="540"/>
      <c r="E39" s="546"/>
      <c r="F39" s="540"/>
      <c r="G39" s="546"/>
      <c r="H39" s="540"/>
      <c r="I39" s="546"/>
      <c r="J39" s="540"/>
      <c r="K39" s="546"/>
      <c r="L39" s="540"/>
      <c r="M39" s="546"/>
      <c r="N39" s="540"/>
      <c r="O39" s="546"/>
      <c r="P39" s="540"/>
      <c r="Q39" s="546"/>
      <c r="R39" s="540"/>
      <c r="S39" s="546"/>
      <c r="T39" s="540"/>
      <c r="U39" s="546"/>
      <c r="V39" s="540"/>
      <c r="W39" s="546"/>
      <c r="X39" s="540"/>
      <c r="Y39" s="546"/>
      <c r="Z39" s="540"/>
      <c r="AA39" s="546"/>
      <c r="AB39" s="486"/>
      <c r="AC39" s="546"/>
      <c r="AD39" s="542"/>
      <c r="AE39" s="546"/>
      <c r="AF39" s="540"/>
      <c r="AG39" s="546"/>
      <c r="AH39" s="540"/>
      <c r="AI39" s="546"/>
      <c r="AJ39" s="537"/>
      <c r="AK39" s="546"/>
      <c r="AL39" s="540"/>
      <c r="AM39" s="546"/>
      <c r="AN39" s="547"/>
      <c r="AO39" s="546"/>
      <c r="AP39" s="547"/>
      <c r="AQ39" s="546"/>
      <c r="AR39" s="547"/>
      <c r="AS39" s="546"/>
      <c r="AT39" s="544"/>
      <c r="AU39" s="546"/>
      <c r="AV39" s="489"/>
      <c r="AW39" s="546"/>
      <c r="AX39" s="547"/>
      <c r="AY39" s="546"/>
      <c r="AZ39" s="542"/>
      <c r="BA39" s="546"/>
      <c r="BB39" s="542"/>
      <c r="BC39" s="546"/>
      <c r="BD39" s="542"/>
      <c r="BE39" s="542"/>
      <c r="BF39" s="542"/>
      <c r="BG39" s="542"/>
      <c r="BH39" s="547"/>
      <c r="BI39" s="546"/>
      <c r="BJ39" s="547"/>
      <c r="BK39" s="546"/>
      <c r="BL39" s="547"/>
      <c r="BM39" s="546"/>
      <c r="BN39" s="547"/>
      <c r="BO39" s="546"/>
      <c r="BP39" s="547"/>
      <c r="BQ39" s="546"/>
      <c r="BR39" s="539"/>
    </row>
    <row r="40" spans="1:70" x14ac:dyDescent="0.2">
      <c r="A40" s="444" t="s">
        <v>705</v>
      </c>
      <c r="B40" s="540">
        <v>252</v>
      </c>
      <c r="C40" s="541">
        <f>ROUND(B40*C$45, 0)</f>
        <v>1634</v>
      </c>
      <c r="D40" s="540">
        <v>330</v>
      </c>
      <c r="E40" s="541">
        <f>ROUND(D40*E$45, 0)</f>
        <v>1266</v>
      </c>
      <c r="F40" s="540">
        <v>351</v>
      </c>
      <c r="G40" s="541">
        <f>ROUND(F40*G$45, 0)</f>
        <v>1175</v>
      </c>
      <c r="H40" s="540">
        <v>909</v>
      </c>
      <c r="I40" s="541">
        <f>ROUND(H40*I$45, 0)</f>
        <v>1933</v>
      </c>
      <c r="J40" s="540">
        <v>963</v>
      </c>
      <c r="K40" s="541">
        <f>ROUND(J40*K$45, 0)</f>
        <v>1895</v>
      </c>
      <c r="L40" s="540"/>
      <c r="M40" s="541">
        <f>ROUND(L40*M$45, 0)</f>
        <v>0</v>
      </c>
      <c r="N40" s="540"/>
      <c r="O40" s="541">
        <f>ROUND(N40*O$45, 0)</f>
        <v>0</v>
      </c>
      <c r="P40" s="540"/>
      <c r="Q40" s="541">
        <f>ROUND(P40*Q$45, 0)</f>
        <v>0</v>
      </c>
      <c r="R40" s="540"/>
      <c r="S40" s="541">
        <f>ROUND(R40*S$45, 0)</f>
        <v>0</v>
      </c>
      <c r="T40" s="540"/>
      <c r="U40" s="541">
        <f>ROUND(T40*U$45, 0)</f>
        <v>0</v>
      </c>
      <c r="V40" s="540"/>
      <c r="W40" s="541">
        <f>ROUND(V40*W$45, 0)</f>
        <v>0</v>
      </c>
      <c r="X40" s="540"/>
      <c r="Y40" s="541">
        <f>ROUND(X40*Y$45, 0)</f>
        <v>0</v>
      </c>
      <c r="Z40" s="540"/>
      <c r="AA40" s="541">
        <f>ROUND(Z40*AA$45, 0)</f>
        <v>0</v>
      </c>
      <c r="AB40" s="486">
        <v>1272</v>
      </c>
      <c r="AC40" s="541">
        <f>ROUND(AB40*AC$45, 0)</f>
        <v>1964</v>
      </c>
      <c r="AD40" s="542">
        <v>1310</v>
      </c>
      <c r="AE40" s="541">
        <f>ROUND(AD40*AE$45, 0)</f>
        <v>1980</v>
      </c>
      <c r="AF40" s="540"/>
      <c r="AG40" s="541">
        <f>ROUND(AF40*AG$45, 0)</f>
        <v>0</v>
      </c>
      <c r="AH40" s="540"/>
      <c r="AI40" s="541">
        <f>ROUND(AH40*AI$45, 0)</f>
        <v>0</v>
      </c>
      <c r="AJ40" s="537">
        <v>1564</v>
      </c>
      <c r="AK40" s="541">
        <f>ROUND(AJ40*AK$45, 0)</f>
        <v>2188</v>
      </c>
      <c r="AL40" s="540">
        <v>1697</v>
      </c>
      <c r="AM40" s="541">
        <f>ROUND(AL40*AM$45, 0)</f>
        <v>2325</v>
      </c>
      <c r="AN40" s="543">
        <v>1832</v>
      </c>
      <c r="AO40" s="541">
        <f>ROUND(AN40*AO$45, 0)</f>
        <v>2438</v>
      </c>
      <c r="AP40" s="543">
        <v>1968</v>
      </c>
      <c r="AQ40" s="541">
        <f>ROUND(AP40*AQ$45, 0)</f>
        <v>2538</v>
      </c>
      <c r="AR40" s="543">
        <v>2046</v>
      </c>
      <c r="AS40" s="541">
        <f>ROUND(AR40*AS$45, 0)</f>
        <v>2534</v>
      </c>
      <c r="AT40" s="544">
        <v>2168</v>
      </c>
      <c r="AU40" s="541">
        <f>ROUND(AT40*AU$45, 0)</f>
        <v>2623</v>
      </c>
      <c r="AV40" s="489">
        <v>2286</v>
      </c>
      <c r="AW40" s="541">
        <f>ROUND(AV40*AW$45, 0)</f>
        <v>2619</v>
      </c>
      <c r="AX40" s="543">
        <v>2376</v>
      </c>
      <c r="AY40" s="541">
        <f>ROUND(AX40*AY$45, 0)</f>
        <v>2780</v>
      </c>
      <c r="AZ40" s="545">
        <v>2520</v>
      </c>
      <c r="BA40" s="541">
        <v>2520</v>
      </c>
      <c r="BB40" s="545">
        <v>2640</v>
      </c>
      <c r="BC40" s="541">
        <f>ROUND(BB40*BC$45, 0)</f>
        <v>2945</v>
      </c>
      <c r="BD40" s="545"/>
      <c r="BE40" s="545">
        <f>ROUND(BD40*BE$45, 0)</f>
        <v>0</v>
      </c>
      <c r="BF40" s="545">
        <v>2924</v>
      </c>
      <c r="BG40" s="545">
        <f>ROUND(BF40*BG$45, 0)</f>
        <v>3154</v>
      </c>
      <c r="BH40" s="543">
        <v>3039.5</v>
      </c>
      <c r="BI40" s="541">
        <f>ROUND(BH40*BI$45, 0)</f>
        <v>3215</v>
      </c>
      <c r="BJ40" s="543">
        <v>3129.5</v>
      </c>
      <c r="BK40" s="541">
        <v>3130</v>
      </c>
      <c r="BL40" s="543">
        <v>3238.5</v>
      </c>
      <c r="BM40" s="541">
        <f>ROUND(BL40*BM$45, 0)</f>
        <v>3391</v>
      </c>
      <c r="BN40" s="543">
        <v>3319</v>
      </c>
      <c r="BO40" s="541">
        <f>ROUND(BN40*BO$45, 0)</f>
        <v>3417</v>
      </c>
      <c r="BP40" s="543">
        <v>3369</v>
      </c>
      <c r="BQ40" s="541">
        <f>ROUND(BP40*BQ$45, 0)</f>
        <v>3369</v>
      </c>
      <c r="BR40" s="539">
        <f>(BQ40-AW40)/BQ40</f>
        <v>0.22261798753339271</v>
      </c>
    </row>
    <row r="41" spans="1:70" x14ac:dyDescent="0.2">
      <c r="A41" s="436" t="s">
        <v>708</v>
      </c>
      <c r="B41" s="549">
        <v>852</v>
      </c>
      <c r="C41" s="550">
        <f>ROUND(B41*C$45, 0)</f>
        <v>5525</v>
      </c>
      <c r="D41" s="549">
        <v>975</v>
      </c>
      <c r="E41" s="550">
        <f>ROUND(D41*E$45, 0)</f>
        <v>3740</v>
      </c>
      <c r="F41" s="549">
        <v>1053</v>
      </c>
      <c r="G41" s="550">
        <f>ROUND(F41*G$45, 0)</f>
        <v>3526</v>
      </c>
      <c r="H41" s="549">
        <v>2910</v>
      </c>
      <c r="I41" s="550">
        <f>ROUND(H41*I$45, 0)</f>
        <v>6189</v>
      </c>
      <c r="J41" s="549">
        <v>3081</v>
      </c>
      <c r="K41" s="550">
        <f>ROUND(J41*K$45, 0)</f>
        <v>6063</v>
      </c>
      <c r="L41" s="549"/>
      <c r="M41" s="550">
        <f>ROUND(L41*M$45, 0)</f>
        <v>0</v>
      </c>
      <c r="N41" s="549"/>
      <c r="O41" s="550">
        <f>ROUND(N41*O$45, 0)</f>
        <v>0</v>
      </c>
      <c r="P41" s="549"/>
      <c r="Q41" s="550">
        <f>ROUND(P41*Q$45, 0)</f>
        <v>0</v>
      </c>
      <c r="R41" s="549"/>
      <c r="S41" s="550">
        <f>ROUND(R41*S$45, 0)</f>
        <v>0</v>
      </c>
      <c r="T41" s="549"/>
      <c r="U41" s="550">
        <f>ROUND(T41*U$45, 0)</f>
        <v>0</v>
      </c>
      <c r="V41" s="549"/>
      <c r="W41" s="550">
        <f>ROUND(V41*W$45, 0)</f>
        <v>0</v>
      </c>
      <c r="X41" s="549"/>
      <c r="Y41" s="550">
        <f>ROUND(X41*Y$45, 0)</f>
        <v>0</v>
      </c>
      <c r="Z41" s="549"/>
      <c r="AA41" s="550">
        <f>ROUND(Z41*AA$45, 0)</f>
        <v>0</v>
      </c>
      <c r="AB41" s="551">
        <v>4534</v>
      </c>
      <c r="AC41" s="550">
        <f>ROUND(AB41*AC$45, 0)</f>
        <v>7001</v>
      </c>
      <c r="AD41" s="552">
        <v>4670</v>
      </c>
      <c r="AE41" s="550">
        <f>ROUND(AD41*AE$45, 0)</f>
        <v>7060</v>
      </c>
      <c r="AF41" s="549"/>
      <c r="AG41" s="550">
        <f>ROUND(AF41*AG$45, 0)</f>
        <v>0</v>
      </c>
      <c r="AH41" s="549"/>
      <c r="AI41" s="550">
        <f>ROUND(AH41*AI$45, 0)</f>
        <v>0</v>
      </c>
      <c r="AJ41" s="553">
        <v>5474</v>
      </c>
      <c r="AK41" s="550">
        <f>ROUND(AJ41*AK$45, 0)</f>
        <v>7660</v>
      </c>
      <c r="AL41" s="549">
        <v>5939</v>
      </c>
      <c r="AM41" s="550">
        <f>ROUND(AL41*AM$45, 0)</f>
        <v>8138</v>
      </c>
      <c r="AN41" s="554">
        <v>6412</v>
      </c>
      <c r="AO41" s="550">
        <f>ROUND(AN41*AO$45, 0)</f>
        <v>8531</v>
      </c>
      <c r="AP41" s="554">
        <v>6888</v>
      </c>
      <c r="AQ41" s="550">
        <f>ROUND(AP41*AQ$45, 0)</f>
        <v>8883</v>
      </c>
      <c r="AR41" s="554">
        <v>7161</v>
      </c>
      <c r="AS41" s="550">
        <f>ROUND(AR41*AS$45, 0)</f>
        <v>8868</v>
      </c>
      <c r="AT41" s="555">
        <v>7588</v>
      </c>
      <c r="AU41" s="550">
        <f>ROUND(AT41*AU$45, 0)</f>
        <v>9180</v>
      </c>
      <c r="AV41" s="499">
        <v>8000</v>
      </c>
      <c r="AW41" s="550">
        <f>ROUND(AV41*AW$45, 0)</f>
        <v>9165</v>
      </c>
      <c r="AX41" s="554">
        <v>8316</v>
      </c>
      <c r="AY41" s="550">
        <f>ROUND(AX41*AY$45, 0)</f>
        <v>9731</v>
      </c>
      <c r="AZ41" s="554">
        <v>8760</v>
      </c>
      <c r="BA41" s="550">
        <v>8760</v>
      </c>
      <c r="BB41" s="556">
        <v>9192</v>
      </c>
      <c r="BC41" s="550">
        <f>ROUND(BB41*BC$45, 0)</f>
        <v>10253</v>
      </c>
      <c r="BD41" s="556"/>
      <c r="BE41" s="556">
        <f>ROUND(BD41*BE$45, 0)</f>
        <v>0</v>
      </c>
      <c r="BF41" s="556">
        <v>10176</v>
      </c>
      <c r="BG41" s="550">
        <f>ROUND(BF41*BG$45, 0)</f>
        <v>10978</v>
      </c>
      <c r="BH41" s="554">
        <v>10581.5</v>
      </c>
      <c r="BI41" s="550">
        <f>ROUND(BH41*BI$45, 0)</f>
        <v>11192</v>
      </c>
      <c r="BJ41" s="554">
        <v>10581.5</v>
      </c>
      <c r="BK41" s="550">
        <v>10582</v>
      </c>
      <c r="BL41" s="554">
        <v>11277</v>
      </c>
      <c r="BM41" s="550">
        <f>ROUND(BL41*BM$45, 0)</f>
        <v>11809</v>
      </c>
      <c r="BN41" s="554">
        <v>11558</v>
      </c>
      <c r="BO41" s="550">
        <f>ROUND(BN41*BO$45, 0)</f>
        <v>11899</v>
      </c>
      <c r="BP41" s="554">
        <v>11732</v>
      </c>
      <c r="BQ41" s="550">
        <f>ROUND(BP41*BQ$45, 0)</f>
        <v>11732</v>
      </c>
      <c r="BR41" s="557">
        <f>(BQ41-AW41)/BQ41</f>
        <v>0.21880327309921582</v>
      </c>
    </row>
    <row r="42" spans="1:70" x14ac:dyDescent="0.2">
      <c r="A42" s="424"/>
      <c r="B42" s="431"/>
      <c r="C42" s="431"/>
      <c r="D42" s="431"/>
      <c r="E42" s="431"/>
      <c r="F42" s="431"/>
      <c r="G42" s="431"/>
      <c r="H42" s="431"/>
      <c r="I42" s="430"/>
      <c r="J42" s="431"/>
      <c r="K42" s="430"/>
      <c r="L42" s="431"/>
      <c r="M42" s="430"/>
      <c r="N42" s="431"/>
      <c r="O42" s="430"/>
      <c r="P42" s="431"/>
      <c r="Q42" s="430"/>
      <c r="R42" s="431"/>
      <c r="S42" s="430"/>
      <c r="T42" s="431"/>
      <c r="U42" s="430"/>
      <c r="V42" s="431"/>
      <c r="W42" s="430"/>
      <c r="X42" s="431"/>
      <c r="Y42" s="430"/>
      <c r="Z42" s="431"/>
      <c r="AA42" s="430"/>
      <c r="AB42" s="431"/>
      <c r="AC42" s="430"/>
      <c r="AD42" s="431"/>
      <c r="AE42" s="430"/>
      <c r="AF42" s="431"/>
      <c r="AG42" s="430"/>
      <c r="AH42" s="431"/>
      <c r="AI42" s="430"/>
      <c r="AJ42" s="431"/>
      <c r="AK42" s="430"/>
      <c r="AL42" s="431"/>
      <c r="AM42" s="430"/>
      <c r="AN42" s="431"/>
      <c r="AO42" s="431"/>
      <c r="AP42" s="431"/>
      <c r="AQ42" s="431"/>
      <c r="AR42" s="431"/>
      <c r="AS42" s="431"/>
      <c r="AT42" s="431"/>
      <c r="AU42" s="431"/>
      <c r="AV42" s="431"/>
      <c r="AW42" s="431"/>
      <c r="AX42" s="431"/>
      <c r="AY42" s="431"/>
      <c r="AZ42" s="531"/>
      <c r="BA42" s="531"/>
      <c r="BB42" s="431"/>
      <c r="BC42" s="431"/>
      <c r="BD42" s="431"/>
      <c r="BE42" s="431"/>
      <c r="BF42" s="431"/>
      <c r="BG42" s="431"/>
      <c r="BH42" s="431"/>
      <c r="BI42" s="431"/>
      <c r="BJ42" s="431"/>
      <c r="BK42" s="431"/>
      <c r="BL42" s="431"/>
      <c r="BM42" s="431"/>
      <c r="BN42" s="431"/>
      <c r="BO42" s="431"/>
      <c r="BP42" s="431"/>
      <c r="BQ42" s="431"/>
      <c r="BR42" s="558"/>
    </row>
    <row r="43" spans="1:70" x14ac:dyDescent="0.2">
      <c r="A43" s="424"/>
      <c r="B43" s="431"/>
      <c r="C43" s="431"/>
      <c r="D43" s="431"/>
      <c r="E43" s="431"/>
      <c r="F43" s="431"/>
      <c r="G43" s="431"/>
      <c r="H43" s="431"/>
      <c r="I43" s="430"/>
      <c r="J43" s="431"/>
      <c r="K43" s="430"/>
      <c r="L43" s="431"/>
      <c r="M43" s="430"/>
      <c r="N43" s="431"/>
      <c r="O43" s="430"/>
      <c r="P43" s="431"/>
      <c r="Q43" s="430"/>
      <c r="R43" s="431"/>
      <c r="S43" s="430"/>
      <c r="T43" s="431"/>
      <c r="U43" s="430"/>
      <c r="V43" s="431"/>
      <c r="W43" s="430"/>
      <c r="X43" s="431"/>
      <c r="Y43" s="430"/>
      <c r="Z43" s="431"/>
      <c r="AA43" s="430"/>
      <c r="AB43" s="431"/>
      <c r="AC43" s="430"/>
      <c r="AD43" s="431"/>
      <c r="AE43" s="430"/>
      <c r="AF43" s="431"/>
      <c r="AG43" s="430"/>
      <c r="AH43" s="431"/>
      <c r="AI43" s="430"/>
      <c r="AJ43" s="431"/>
      <c r="AK43" s="559"/>
      <c r="AL43" s="431"/>
      <c r="AM43" s="559"/>
      <c r="AN43" s="431"/>
      <c r="AO43" s="431"/>
      <c r="AP43" s="431"/>
      <c r="AQ43" s="431"/>
      <c r="AR43" s="431"/>
      <c r="AS43" s="431"/>
      <c r="AT43" s="431"/>
      <c r="AU43" s="431"/>
      <c r="AV43" s="431"/>
      <c r="AW43" s="431"/>
      <c r="AX43" s="431"/>
      <c r="AY43" s="431"/>
      <c r="AZ43" s="531"/>
      <c r="BA43" s="531"/>
      <c r="BB43" s="431"/>
      <c r="BC43" s="431"/>
      <c r="BD43" s="431"/>
      <c r="BE43" s="431"/>
      <c r="BF43" s="431"/>
      <c r="BG43" s="431"/>
      <c r="BH43" s="431"/>
      <c r="BI43" s="431"/>
      <c r="BJ43" s="431"/>
      <c r="BK43" s="431"/>
      <c r="BL43" s="431"/>
      <c r="BM43" s="431"/>
      <c r="BN43" s="431"/>
      <c r="BO43" s="431"/>
      <c r="BP43" s="431"/>
      <c r="BQ43" s="431"/>
      <c r="BR43" s="431"/>
    </row>
    <row r="44" spans="1:70" x14ac:dyDescent="0.2">
      <c r="A44" s="560" t="s">
        <v>725</v>
      </c>
      <c r="B44" s="561"/>
      <c r="C44" s="562">
        <v>36.799999999999997</v>
      </c>
      <c r="D44" s="562"/>
      <c r="E44" s="562">
        <v>65.7</v>
      </c>
      <c r="F44" s="562"/>
      <c r="G44" s="562">
        <v>73.099999999999994</v>
      </c>
      <c r="H44" s="562"/>
      <c r="I44" s="563">
        <v>118.5</v>
      </c>
      <c r="J44" s="562"/>
      <c r="K44" s="563">
        <v>124.4</v>
      </c>
      <c r="L44" s="562"/>
      <c r="M44" s="563">
        <v>130.4</v>
      </c>
      <c r="N44" s="562"/>
      <c r="O44" s="563">
        <v>136.19999999999999</v>
      </c>
      <c r="P44" s="562"/>
      <c r="Q44" s="563">
        <v>140.5</v>
      </c>
      <c r="R44" s="562"/>
      <c r="S44" s="563">
        <v>144.4</v>
      </c>
      <c r="T44" s="562"/>
      <c r="U44" s="563">
        <v>148.4</v>
      </c>
      <c r="V44" s="562"/>
      <c r="W44" s="563">
        <v>152.5</v>
      </c>
      <c r="X44" s="562"/>
      <c r="Y44" s="563">
        <v>157</v>
      </c>
      <c r="Z44" s="562"/>
      <c r="AA44" s="563">
        <v>160.5</v>
      </c>
      <c r="AB44" s="562"/>
      <c r="AC44" s="563">
        <v>163.19999999999999</v>
      </c>
      <c r="AD44" s="562"/>
      <c r="AE44" s="563">
        <v>166.7</v>
      </c>
      <c r="AF44" s="562"/>
      <c r="AG44" s="563">
        <v>172.8</v>
      </c>
      <c r="AH44" s="562"/>
      <c r="AI44" s="563">
        <v>177.5</v>
      </c>
      <c r="AJ44" s="562"/>
      <c r="AK44" s="564">
        <v>180.1</v>
      </c>
      <c r="AL44" s="562"/>
      <c r="AM44" s="564">
        <v>183.9</v>
      </c>
      <c r="AN44" s="562"/>
      <c r="AO44" s="562">
        <v>189.4</v>
      </c>
      <c r="AP44" s="562"/>
      <c r="AQ44" s="562">
        <v>195.4</v>
      </c>
      <c r="AR44" s="562"/>
      <c r="AS44" s="562">
        <v>203.5</v>
      </c>
      <c r="AT44" s="562"/>
      <c r="AU44" s="562">
        <v>208.3</v>
      </c>
      <c r="AV44" s="562"/>
      <c r="AW44" s="565">
        <v>219.964</v>
      </c>
      <c r="AX44" s="562"/>
      <c r="AY44" s="565">
        <v>215.351</v>
      </c>
      <c r="AZ44" s="566"/>
      <c r="BA44" s="567">
        <v>218.011</v>
      </c>
      <c r="BB44" s="562"/>
      <c r="BC44" s="565">
        <v>225.922</v>
      </c>
      <c r="BD44" s="565"/>
      <c r="BE44" s="565">
        <v>229.10400000000001</v>
      </c>
      <c r="BF44" s="565"/>
      <c r="BG44" s="565">
        <v>233.596</v>
      </c>
      <c r="BH44" s="562"/>
      <c r="BI44" s="568">
        <v>238.25</v>
      </c>
      <c r="BJ44" s="562"/>
      <c r="BK44" s="565">
        <v>238.654</v>
      </c>
      <c r="BL44" s="565"/>
      <c r="BM44" s="565">
        <v>240.64699999999999</v>
      </c>
      <c r="BN44" s="565"/>
      <c r="BO44" s="565">
        <v>244.786</v>
      </c>
      <c r="BP44" s="565"/>
      <c r="BQ44" s="569">
        <v>252.006</v>
      </c>
      <c r="BR44" s="431"/>
    </row>
    <row r="45" spans="1:70" x14ac:dyDescent="0.2">
      <c r="A45" s="570" t="s">
        <v>726</v>
      </c>
      <c r="B45" s="571"/>
      <c r="C45" s="572">
        <f>$BK$44/C44</f>
        <v>6.485163043478261</v>
      </c>
      <c r="D45" s="572"/>
      <c r="E45" s="572">
        <f>$BQ$44/E44</f>
        <v>3.8357077625570777</v>
      </c>
      <c r="F45" s="572"/>
      <c r="G45" s="572">
        <f>$BO$44/G44</f>
        <v>3.3486456908344735</v>
      </c>
      <c r="H45" s="572"/>
      <c r="I45" s="572">
        <f>$BQ$44/I44</f>
        <v>2.126632911392405</v>
      </c>
      <c r="J45" s="572"/>
      <c r="K45" s="572">
        <f>$BO$44/K44</f>
        <v>1.967733118971061</v>
      </c>
      <c r="L45" s="572"/>
      <c r="M45" s="572">
        <f>$BO$44/M44</f>
        <v>1.8771932515337422</v>
      </c>
      <c r="N45" s="572"/>
      <c r="O45" s="572">
        <f>$BO$44/O44</f>
        <v>1.7972540381791484</v>
      </c>
      <c r="P45" s="572"/>
      <c r="Q45" s="572">
        <f>$BQ$44/Q44</f>
        <v>1.7936370106761566</v>
      </c>
      <c r="R45" s="572"/>
      <c r="S45" s="572">
        <f>$BQ$44/S44</f>
        <v>1.7451939058171744</v>
      </c>
      <c r="T45" s="572"/>
      <c r="U45" s="572">
        <f>$BQ$44/U44</f>
        <v>1.6981536388140162</v>
      </c>
      <c r="V45" s="572"/>
      <c r="W45" s="572">
        <f>$BQ$44/W44</f>
        <v>1.6524983606557377</v>
      </c>
      <c r="X45" s="572"/>
      <c r="Y45" s="572">
        <f>$BQ$44/Y44</f>
        <v>1.6051337579617835</v>
      </c>
      <c r="Z45" s="572"/>
      <c r="AA45" s="572">
        <f>$BQ$44/AA44</f>
        <v>1.5701308411214954</v>
      </c>
      <c r="AB45" s="572"/>
      <c r="AC45" s="572">
        <f>$BQ$44/AC44</f>
        <v>1.5441544117647059</v>
      </c>
      <c r="AD45" s="572"/>
      <c r="AE45" s="572">
        <f>$BQ$44/AE44</f>
        <v>1.5117336532693462</v>
      </c>
      <c r="AF45" s="572"/>
      <c r="AG45" s="572">
        <f>$BQ$44/AG44</f>
        <v>1.4583680555555554</v>
      </c>
      <c r="AH45" s="572"/>
      <c r="AI45" s="572">
        <f>$BQ$44/AI44</f>
        <v>1.4197521126760564</v>
      </c>
      <c r="AJ45" s="572"/>
      <c r="AK45" s="572">
        <f>$BQ$44/AK44</f>
        <v>1.3992559689061632</v>
      </c>
      <c r="AL45" s="572"/>
      <c r="AM45" s="572">
        <f>$BQ$44/AM44</f>
        <v>1.3703425774877651</v>
      </c>
      <c r="AN45" s="572"/>
      <c r="AO45" s="572">
        <f>$BQ$44/AO44</f>
        <v>1.3305491024287222</v>
      </c>
      <c r="AP45" s="572"/>
      <c r="AQ45" s="572">
        <f>$BQ$44/AQ44</f>
        <v>1.2896929375639714</v>
      </c>
      <c r="AR45" s="572"/>
      <c r="AS45" s="572">
        <f>$BQ$44/AS44</f>
        <v>1.2383587223587225</v>
      </c>
      <c r="AT45" s="572"/>
      <c r="AU45" s="572">
        <f>$BQ$44/AU44</f>
        <v>1.2098223715794527</v>
      </c>
      <c r="AV45" s="572"/>
      <c r="AW45" s="572">
        <f>$BQ$44/AW44</f>
        <v>1.1456692913385826</v>
      </c>
      <c r="AX45" s="572"/>
      <c r="AY45" s="572">
        <f>$BQ$44/AY44</f>
        <v>1.1702104935663173</v>
      </c>
      <c r="AZ45" s="573"/>
      <c r="BA45" s="572">
        <f>$BQ$44/BA44</f>
        <v>1.1559324988188671</v>
      </c>
      <c r="BB45" s="572"/>
      <c r="BC45" s="572">
        <f>$BQ$44/BC44</f>
        <v>1.1154557767725144</v>
      </c>
      <c r="BD45" s="572"/>
      <c r="BE45" s="572">
        <f>$BQ$44/BE44</f>
        <v>1.0999633354284517</v>
      </c>
      <c r="BF45" s="572"/>
      <c r="BG45" s="572">
        <f>$BQ$44/BG44</f>
        <v>1.0788112810150858</v>
      </c>
      <c r="BH45" s="572"/>
      <c r="BI45" s="572">
        <f>$BQ$44/BI44</f>
        <v>1.0577376705141659</v>
      </c>
      <c r="BJ45" s="572"/>
      <c r="BK45" s="572">
        <f>$BQ$44/BK44</f>
        <v>1.0559471033378867</v>
      </c>
      <c r="BL45" s="572"/>
      <c r="BM45" s="572">
        <f>$BQ$44/BM44</f>
        <v>1.0472019181622876</v>
      </c>
      <c r="BN45" s="572"/>
      <c r="BO45" s="572">
        <f>$BQ$44/BO44</f>
        <v>1.0294951508664711</v>
      </c>
      <c r="BP45" s="572"/>
      <c r="BQ45" s="574">
        <v>1</v>
      </c>
      <c r="BR45" s="431"/>
    </row>
    <row r="46" spans="1:70" x14ac:dyDescent="0.2">
      <c r="A46" s="424"/>
      <c r="B46" s="431"/>
      <c r="C46" s="431"/>
      <c r="D46" s="431"/>
      <c r="E46" s="431"/>
      <c r="F46" s="431"/>
      <c r="G46" s="431"/>
      <c r="H46" s="431"/>
      <c r="I46" s="430"/>
      <c r="J46" s="431"/>
      <c r="K46" s="430"/>
      <c r="L46" s="431"/>
      <c r="M46" s="430"/>
      <c r="N46" s="431"/>
      <c r="O46" s="430"/>
      <c r="P46" s="431"/>
      <c r="Q46" s="430"/>
      <c r="R46" s="431"/>
      <c r="S46" s="430"/>
      <c r="T46" s="431"/>
      <c r="U46" s="430"/>
      <c r="V46" s="431"/>
      <c r="W46" s="430"/>
      <c r="X46" s="431"/>
      <c r="Y46" s="430"/>
      <c r="Z46" s="431"/>
      <c r="AA46" s="430"/>
      <c r="AB46" s="431"/>
      <c r="AC46" s="430"/>
      <c r="AD46" s="431"/>
      <c r="AE46" s="430"/>
      <c r="AF46" s="431"/>
      <c r="AG46" s="430"/>
      <c r="AH46" s="431"/>
      <c r="AI46" s="430"/>
      <c r="AJ46" s="431"/>
      <c r="AK46" s="430"/>
      <c r="AL46" s="431"/>
      <c r="AM46" s="430"/>
      <c r="AN46" s="431"/>
      <c r="AO46" s="431"/>
      <c r="AP46" s="431"/>
      <c r="AQ46" s="431"/>
      <c r="AR46" s="431"/>
      <c r="AS46" s="431"/>
      <c r="AT46" s="431"/>
      <c r="AU46" s="431"/>
      <c r="AV46" s="431"/>
      <c r="AW46" s="431"/>
      <c r="AX46" s="431"/>
      <c r="AY46" s="431"/>
      <c r="AZ46" s="531"/>
      <c r="BA46" s="531"/>
      <c r="BB46" s="431"/>
      <c r="BC46" s="431"/>
      <c r="BD46" s="431"/>
      <c r="BE46" s="431"/>
      <c r="BF46" s="431"/>
      <c r="BG46" s="431"/>
      <c r="BH46" s="431"/>
      <c r="BI46" s="431"/>
      <c r="BJ46" s="431"/>
      <c r="BK46" s="431"/>
      <c r="BL46" s="431"/>
      <c r="BM46" s="431"/>
      <c r="BN46" s="431"/>
      <c r="BO46" s="431"/>
      <c r="BP46" s="431"/>
      <c r="BQ46" s="431"/>
      <c r="BR46" s="431"/>
    </row>
    <row r="47" spans="1:70" x14ac:dyDescent="0.2">
      <c r="A47" s="425" t="s">
        <v>681</v>
      </c>
      <c r="B47" s="428"/>
      <c r="C47" s="428"/>
      <c r="D47" s="431"/>
      <c r="E47" s="431"/>
      <c r="F47" s="431"/>
      <c r="G47" s="431"/>
      <c r="H47" s="431"/>
      <c r="I47" s="430"/>
      <c r="J47" s="431"/>
      <c r="K47" s="430"/>
      <c r="L47" s="431"/>
      <c r="M47" s="430"/>
      <c r="N47" s="431"/>
      <c r="O47" s="430"/>
      <c r="P47" s="431"/>
      <c r="Q47" s="430"/>
      <c r="R47" s="431"/>
      <c r="S47" s="430"/>
      <c r="T47" s="431"/>
      <c r="U47" s="430"/>
      <c r="V47" s="431"/>
      <c r="W47" s="430"/>
      <c r="X47" s="431"/>
      <c r="Y47" s="430"/>
      <c r="Z47" s="431"/>
      <c r="AA47" s="430"/>
      <c r="AB47" s="431"/>
      <c r="AC47" s="430"/>
      <c r="AD47" s="431"/>
      <c r="AE47" s="430"/>
      <c r="AF47" s="431"/>
      <c r="AG47" s="430"/>
      <c r="AH47" s="431"/>
      <c r="AI47" s="430"/>
      <c r="AJ47" s="431"/>
      <c r="AK47" s="430"/>
      <c r="AL47" s="431"/>
      <c r="AM47" s="430"/>
      <c r="AN47" s="431"/>
      <c r="AO47" s="431"/>
      <c r="AP47" s="431"/>
      <c r="AQ47" s="431"/>
      <c r="AR47" s="431"/>
      <c r="AS47" s="431"/>
      <c r="AT47" s="431"/>
      <c r="AU47" s="431"/>
      <c r="AV47" s="431"/>
      <c r="AW47" s="431"/>
      <c r="AX47" s="431"/>
      <c r="AY47" s="431"/>
      <c r="AZ47" s="531"/>
      <c r="BA47" s="531"/>
      <c r="BB47" s="431"/>
      <c r="BC47" s="431"/>
      <c r="BD47" s="431"/>
      <c r="BE47" s="431"/>
      <c r="BF47" s="431"/>
      <c r="BG47" s="431"/>
      <c r="BH47" s="431"/>
      <c r="BI47" s="431"/>
      <c r="BJ47" s="431"/>
      <c r="BK47" s="431"/>
      <c r="BL47" s="431"/>
      <c r="BM47" s="431"/>
      <c r="BN47" s="431"/>
      <c r="BO47" s="431"/>
      <c r="BP47" s="431"/>
      <c r="BQ47" s="431"/>
      <c r="BR47" s="431"/>
    </row>
    <row r="48" spans="1:70" x14ac:dyDescent="0.2">
      <c r="A48" s="424" t="s">
        <v>713</v>
      </c>
      <c r="B48" s="431"/>
      <c r="C48" s="431"/>
      <c r="D48" s="431"/>
      <c r="E48" s="431"/>
      <c r="F48" s="431"/>
      <c r="G48" s="431"/>
      <c r="H48" s="431"/>
      <c r="I48" s="430"/>
      <c r="J48" s="431"/>
      <c r="K48" s="430"/>
      <c r="L48" s="431"/>
      <c r="M48" s="430"/>
      <c r="N48" s="431"/>
      <c r="O48" s="430"/>
      <c r="P48" s="431"/>
      <c r="Q48" s="430"/>
      <c r="R48" s="431"/>
      <c r="S48" s="430"/>
      <c r="T48" s="431"/>
      <c r="U48" s="430"/>
      <c r="V48" s="431"/>
      <c r="W48" s="430"/>
      <c r="X48" s="431"/>
      <c r="Y48" s="430"/>
      <c r="Z48" s="431"/>
      <c r="AA48" s="430"/>
      <c r="AB48" s="431"/>
      <c r="AC48" s="430"/>
      <c r="AD48" s="431"/>
      <c r="AE48" s="430"/>
      <c r="AF48" s="431"/>
      <c r="AG48" s="430"/>
      <c r="AH48" s="431"/>
      <c r="AI48" s="430"/>
      <c r="AJ48" s="431"/>
      <c r="AK48" s="430"/>
      <c r="AL48" s="431"/>
      <c r="AM48" s="430"/>
      <c r="AN48" s="431"/>
      <c r="AO48" s="431"/>
      <c r="AP48" s="431"/>
      <c r="AQ48" s="431"/>
      <c r="AR48" s="431"/>
      <c r="AS48" s="431"/>
      <c r="AT48" s="431"/>
      <c r="AU48" s="431"/>
      <c r="AV48" s="431"/>
      <c r="AW48" s="431"/>
      <c r="AX48" s="431"/>
      <c r="AY48" s="431"/>
      <c r="AZ48" s="431"/>
      <c r="BA48" s="431"/>
      <c r="BB48" s="431"/>
      <c r="BC48" s="431"/>
      <c r="BD48" s="431"/>
      <c r="BE48" s="431"/>
      <c r="BF48" s="431"/>
      <c r="BG48" s="431"/>
      <c r="BH48" s="431"/>
      <c r="BI48" s="431"/>
      <c r="BJ48" s="431"/>
      <c r="BK48" s="431"/>
      <c r="BL48" s="431"/>
      <c r="BM48" s="431"/>
      <c r="BN48" s="431"/>
      <c r="BO48" s="431"/>
      <c r="BP48" s="431"/>
      <c r="BQ48" s="431"/>
      <c r="BR48" s="431"/>
    </row>
    <row r="49" spans="1:1" ht="15" x14ac:dyDescent="0.2">
      <c r="A49" s="425" t="s">
        <v>683</v>
      </c>
    </row>
    <row r="50" spans="1:1" x14ac:dyDescent="0.2">
      <c r="A50" s="575"/>
    </row>
    <row r="51" spans="1:1" x14ac:dyDescent="0.2">
      <c r="A51" s="575"/>
    </row>
  </sheetData>
  <mergeCells count="15">
    <mergeCell ref="AX5:AY5"/>
    <mergeCell ref="AN5:AO5"/>
    <mergeCell ref="AP5:AQ5"/>
    <mergeCell ref="AR5:AS5"/>
    <mergeCell ref="AT5:AU5"/>
    <mergeCell ref="AV5:AW5"/>
    <mergeCell ref="BL5:BM5"/>
    <mergeCell ref="BN5:BO5"/>
    <mergeCell ref="BP5:BQ5"/>
    <mergeCell ref="AZ5:BA5"/>
    <mergeCell ref="BB5:BC5"/>
    <mergeCell ref="BD5:BE5"/>
    <mergeCell ref="BF5:BG5"/>
    <mergeCell ref="BH5:BI5"/>
    <mergeCell ref="BJ5:BK5"/>
  </mergeCells>
  <pageMargins left="0.6" right="0.6" top="0.5" bottom="0.5" header="0.25" footer="0"/>
  <pageSetup scale="89" orientation="portrait" r:id="rId1"/>
  <headerFooter alignWithMargins="0"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9"/>
  <sheetViews>
    <sheetView view="pageBreakPreview" topLeftCell="A4" zoomScale="115" zoomScaleNormal="100" zoomScaleSheetLayoutView="115" workbookViewId="0"/>
  </sheetViews>
  <sheetFormatPr defaultColWidth="9.140625" defaultRowHeight="12.75" x14ac:dyDescent="0.2"/>
  <cols>
    <col min="1" max="1" width="1.7109375" style="401" customWidth="1"/>
    <col min="2" max="2" width="5" style="401" hidden="1" customWidth="1"/>
    <col min="3" max="3" width="13.140625" style="401" customWidth="1"/>
    <col min="4" max="4" width="25.5703125" style="401" customWidth="1"/>
    <col min="5" max="12" width="9.7109375" style="401" customWidth="1"/>
    <col min="13" max="13" width="26.28515625" style="401" hidden="1" customWidth="1"/>
    <col min="14" max="19" width="0" style="401" hidden="1" customWidth="1"/>
    <col min="20" max="16384" width="9.140625" style="401"/>
  </cols>
  <sheetData>
    <row r="1" spans="1:12" ht="16.5" thickBot="1" x14ac:dyDescent="0.3">
      <c r="A1" s="576" t="s">
        <v>727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</row>
    <row r="2" spans="1:12" ht="18.75" x14ac:dyDescent="0.25">
      <c r="A2" s="402" t="s">
        <v>920</v>
      </c>
      <c r="D2" s="402" t="s">
        <v>728</v>
      </c>
    </row>
    <row r="3" spans="1:12" ht="4.5" customHeight="1" x14ac:dyDescent="0.2"/>
    <row r="4" spans="1:12" ht="15" x14ac:dyDescent="0.2">
      <c r="E4" s="577" t="s">
        <v>729</v>
      </c>
      <c r="F4" s="577" t="s">
        <v>723</v>
      </c>
      <c r="G4" s="577" t="s">
        <v>730</v>
      </c>
      <c r="H4" s="577" t="s">
        <v>6</v>
      </c>
      <c r="I4" s="577" t="s">
        <v>731</v>
      </c>
      <c r="J4" s="577" t="s">
        <v>145</v>
      </c>
      <c r="K4" s="577" t="s">
        <v>8</v>
      </c>
      <c r="L4" s="577" t="s">
        <v>9</v>
      </c>
    </row>
    <row r="5" spans="1:12" ht="13.5" thickBot="1" x14ac:dyDescent="0.25">
      <c r="A5" s="578" t="s">
        <v>663</v>
      </c>
      <c r="B5" s="578"/>
      <c r="C5" s="578"/>
      <c r="D5" s="578"/>
      <c r="E5" s="578"/>
      <c r="F5" s="578"/>
      <c r="G5" s="578"/>
      <c r="H5" s="578"/>
      <c r="I5" s="578"/>
      <c r="J5" s="578"/>
      <c r="K5" s="578"/>
      <c r="L5" s="578"/>
    </row>
    <row r="6" spans="1:12" ht="13.5" thickTop="1" x14ac:dyDescent="0.2">
      <c r="C6" s="401" t="s">
        <v>732</v>
      </c>
      <c r="E6" s="579">
        <v>7996.82</v>
      </c>
      <c r="F6" s="579">
        <v>6342.44</v>
      </c>
      <c r="G6" s="579">
        <v>4892.18</v>
      </c>
      <c r="H6" s="579">
        <v>6006</v>
      </c>
      <c r="I6" s="579">
        <v>3326</v>
      </c>
      <c r="J6" s="579">
        <v>4458</v>
      </c>
      <c r="K6" s="579">
        <v>5036</v>
      </c>
      <c r="L6" s="579">
        <v>3369</v>
      </c>
    </row>
    <row r="7" spans="1:12" x14ac:dyDescent="0.2">
      <c r="C7" s="401" t="s">
        <v>733</v>
      </c>
      <c r="E7" s="579">
        <v>27990</v>
      </c>
      <c r="F7" s="579">
        <v>20423</v>
      </c>
      <c r="G7" s="579">
        <v>14679</v>
      </c>
      <c r="H7" s="579">
        <v>19822</v>
      </c>
      <c r="I7" s="579">
        <v>12146</v>
      </c>
      <c r="J7" s="579">
        <v>14256</v>
      </c>
      <c r="K7" s="579">
        <v>15606</v>
      </c>
      <c r="L7" s="579">
        <v>11732</v>
      </c>
    </row>
    <row r="8" spans="1:12" ht="3.95" customHeight="1" x14ac:dyDescent="0.2"/>
    <row r="9" spans="1:12" ht="13.5" thickBot="1" x14ac:dyDescent="0.25">
      <c r="A9" s="580" t="s">
        <v>734</v>
      </c>
      <c r="B9" s="578"/>
      <c r="C9" s="580"/>
      <c r="D9" s="578"/>
      <c r="E9" s="578"/>
      <c r="F9" s="578"/>
      <c r="G9" s="578"/>
      <c r="H9" s="578"/>
      <c r="I9" s="578"/>
      <c r="J9" s="578"/>
      <c r="K9" s="578"/>
      <c r="L9" s="578"/>
    </row>
    <row r="10" spans="1:12" ht="13.5" thickTop="1" x14ac:dyDescent="0.2">
      <c r="B10" s="581">
        <v>1</v>
      </c>
      <c r="C10" s="401" t="s">
        <v>735</v>
      </c>
      <c r="E10" s="582">
        <v>302.06</v>
      </c>
      <c r="F10" s="582">
        <v>238.94</v>
      </c>
      <c r="G10" s="582">
        <v>333.96000000000004</v>
      </c>
      <c r="H10" s="582">
        <v>131.5</v>
      </c>
      <c r="I10" s="582">
        <v>99.2</v>
      </c>
      <c r="J10" s="582">
        <v>236</v>
      </c>
      <c r="K10" s="582">
        <v>137.72</v>
      </c>
      <c r="L10" s="582">
        <v>146</v>
      </c>
    </row>
    <row r="11" spans="1:12" x14ac:dyDescent="0.2">
      <c r="B11" s="581">
        <v>2</v>
      </c>
      <c r="C11" s="401" t="s">
        <v>736</v>
      </c>
      <c r="E11" s="512">
        <v>348.48</v>
      </c>
      <c r="F11" s="512">
        <f>276.64+17.42</f>
        <v>294.06</v>
      </c>
      <c r="G11" s="512">
        <f>245.26+72.28</f>
        <v>317.53999999999996</v>
      </c>
      <c r="H11" s="512">
        <f>182+140</f>
        <v>322</v>
      </c>
      <c r="I11" s="583">
        <v>176.3</v>
      </c>
      <c r="J11" s="583">
        <v>303.5</v>
      </c>
      <c r="K11" s="512">
        <f>186.38+107.84</f>
        <v>294.22000000000003</v>
      </c>
      <c r="L11" s="512">
        <f>118+60</f>
        <v>178</v>
      </c>
    </row>
    <row r="12" spans="1:12" ht="12.75" customHeight="1" x14ac:dyDescent="0.2">
      <c r="B12" s="581">
        <v>4</v>
      </c>
      <c r="C12" s="401" t="s">
        <v>737</v>
      </c>
      <c r="E12" s="512">
        <v>165.38</v>
      </c>
      <c r="F12" s="512">
        <v>274.16000000000003</v>
      </c>
      <c r="G12" s="512">
        <v>145.68</v>
      </c>
      <c r="H12" s="512">
        <v>206</v>
      </c>
      <c r="I12" s="512">
        <v>75</v>
      </c>
      <c r="J12" s="512">
        <v>162</v>
      </c>
      <c r="K12" s="512">
        <v>209.7</v>
      </c>
      <c r="L12" s="512">
        <v>73</v>
      </c>
    </row>
    <row r="13" spans="1:12" x14ac:dyDescent="0.2">
      <c r="B13" s="581">
        <v>5</v>
      </c>
      <c r="C13" s="401" t="s">
        <v>738</v>
      </c>
      <c r="E13" s="512">
        <v>48.96</v>
      </c>
      <c r="F13" s="512">
        <v>88.34</v>
      </c>
      <c r="G13" s="512">
        <v>59.14</v>
      </c>
      <c r="H13" s="512">
        <v>40</v>
      </c>
      <c r="I13" s="512">
        <v>25.6</v>
      </c>
      <c r="J13" s="512">
        <v>41.5</v>
      </c>
      <c r="K13" s="512">
        <v>19.34</v>
      </c>
      <c r="L13" s="512">
        <v>39</v>
      </c>
    </row>
    <row r="14" spans="1:12" x14ac:dyDescent="0.2">
      <c r="B14" s="581">
        <v>6</v>
      </c>
      <c r="C14" s="401" t="s">
        <v>739</v>
      </c>
      <c r="E14" s="512">
        <v>238.9</v>
      </c>
      <c r="F14" s="512">
        <v>133.24</v>
      </c>
      <c r="G14" s="512">
        <v>96.240000000000009</v>
      </c>
      <c r="H14" s="512">
        <v>64</v>
      </c>
      <c r="I14" s="512">
        <v>39.9</v>
      </c>
      <c r="J14" s="512">
        <v>52</v>
      </c>
      <c r="K14" s="512">
        <v>15.94</v>
      </c>
      <c r="L14" s="512">
        <v>29.5</v>
      </c>
    </row>
    <row r="15" spans="1:12" x14ac:dyDescent="0.2">
      <c r="B15" s="581"/>
      <c r="C15" s="401" t="s">
        <v>740</v>
      </c>
      <c r="E15" s="512">
        <v>116.7</v>
      </c>
      <c r="F15" s="512">
        <v>47.28</v>
      </c>
      <c r="G15" s="512">
        <v>14.68</v>
      </c>
      <c r="H15" s="584">
        <v>0</v>
      </c>
      <c r="I15" s="584">
        <v>0</v>
      </c>
      <c r="J15" s="584">
        <v>0</v>
      </c>
      <c r="K15" s="512">
        <v>13.08</v>
      </c>
      <c r="L15" s="512">
        <v>7</v>
      </c>
    </row>
    <row r="16" spans="1:12" x14ac:dyDescent="0.2">
      <c r="B16" s="581">
        <v>7</v>
      </c>
      <c r="C16" s="523" t="s">
        <v>741</v>
      </c>
      <c r="D16" s="523"/>
      <c r="E16" s="585">
        <v>5</v>
      </c>
      <c r="F16" s="585">
        <v>5.98</v>
      </c>
      <c r="G16" s="586">
        <v>0</v>
      </c>
      <c r="H16" s="586">
        <v>0</v>
      </c>
      <c r="I16" s="586">
        <v>0</v>
      </c>
      <c r="J16" s="586">
        <v>0</v>
      </c>
      <c r="K16" s="586">
        <v>0</v>
      </c>
      <c r="L16" s="585">
        <v>1.5</v>
      </c>
    </row>
    <row r="17" spans="1:19" s="404" customFormat="1" x14ac:dyDescent="0.2">
      <c r="C17" s="404" t="s">
        <v>742</v>
      </c>
      <c r="E17" s="587">
        <f t="shared" ref="E17:K17" si="0">SUM(E10:E16)</f>
        <v>1225.48</v>
      </c>
      <c r="F17" s="587">
        <f t="shared" si="0"/>
        <v>1082.0000000000002</v>
      </c>
      <c r="G17" s="587">
        <f t="shared" si="0"/>
        <v>967.24</v>
      </c>
      <c r="H17" s="587">
        <f t="shared" si="0"/>
        <v>763.5</v>
      </c>
      <c r="I17" s="587">
        <f t="shared" si="0"/>
        <v>416</v>
      </c>
      <c r="J17" s="587">
        <f t="shared" si="0"/>
        <v>795</v>
      </c>
      <c r="K17" s="587">
        <f t="shared" si="0"/>
        <v>690.00000000000023</v>
      </c>
      <c r="L17" s="587">
        <f>SUM(L10:L16)</f>
        <v>474</v>
      </c>
      <c r="M17" s="587"/>
    </row>
    <row r="18" spans="1:19" ht="3.95" customHeight="1" x14ac:dyDescent="0.2"/>
    <row r="19" spans="1:19" ht="13.5" thickBot="1" x14ac:dyDescent="0.25">
      <c r="A19" s="578" t="s">
        <v>743</v>
      </c>
      <c r="B19" s="578"/>
      <c r="C19" s="578"/>
      <c r="D19" s="578"/>
      <c r="E19" s="578"/>
      <c r="F19" s="578"/>
      <c r="G19" s="578"/>
      <c r="H19" s="578"/>
      <c r="I19" s="578"/>
      <c r="J19" s="578"/>
      <c r="K19" s="578"/>
      <c r="L19" s="578"/>
    </row>
    <row r="20" spans="1:19" ht="3.95" customHeight="1" thickTop="1" x14ac:dyDescent="0.2"/>
    <row r="21" spans="1:19" x14ac:dyDescent="0.2">
      <c r="C21" s="401" t="s">
        <v>744</v>
      </c>
      <c r="E21" s="579">
        <f t="shared" ref="E21:L21" si="1">E17+E6</f>
        <v>9222.2999999999993</v>
      </c>
      <c r="F21" s="579">
        <f t="shared" si="1"/>
        <v>7424.44</v>
      </c>
      <c r="G21" s="579">
        <f t="shared" si="1"/>
        <v>5859.42</v>
      </c>
      <c r="H21" s="579">
        <f t="shared" si="1"/>
        <v>6769.5</v>
      </c>
      <c r="I21" s="579">
        <f t="shared" si="1"/>
        <v>3742</v>
      </c>
      <c r="J21" s="579">
        <f t="shared" si="1"/>
        <v>5253</v>
      </c>
      <c r="K21" s="579">
        <f t="shared" si="1"/>
        <v>5726</v>
      </c>
      <c r="L21" s="579">
        <f t="shared" si="1"/>
        <v>3843</v>
      </c>
      <c r="M21" s="457"/>
      <c r="N21" s="588"/>
      <c r="O21" s="588"/>
      <c r="P21" s="588"/>
      <c r="Q21" s="588"/>
      <c r="R21" s="588"/>
      <c r="S21" s="588"/>
    </row>
    <row r="22" spans="1:19" x14ac:dyDescent="0.2">
      <c r="C22" s="401" t="s">
        <v>733</v>
      </c>
      <c r="E22" s="579">
        <f t="shared" ref="E22:L22" si="2">E17+E7</f>
        <v>29215.48</v>
      </c>
      <c r="F22" s="579">
        <f t="shared" si="2"/>
        <v>21505</v>
      </c>
      <c r="G22" s="579">
        <f t="shared" si="2"/>
        <v>15646.24</v>
      </c>
      <c r="H22" s="579">
        <f t="shared" si="2"/>
        <v>20585.5</v>
      </c>
      <c r="I22" s="579">
        <f t="shared" si="2"/>
        <v>12562</v>
      </c>
      <c r="J22" s="579">
        <f t="shared" si="2"/>
        <v>15051</v>
      </c>
      <c r="K22" s="579">
        <f t="shared" si="2"/>
        <v>16296</v>
      </c>
      <c r="L22" s="579">
        <f t="shared" si="2"/>
        <v>12206</v>
      </c>
    </row>
    <row r="23" spans="1:19" ht="8.25" customHeight="1" x14ac:dyDescent="0.2"/>
    <row r="24" spans="1:19" x14ac:dyDescent="0.2">
      <c r="C24" s="401" t="s">
        <v>745</v>
      </c>
    </row>
    <row r="25" spans="1:19" x14ac:dyDescent="0.2">
      <c r="C25" s="401" t="s">
        <v>746</v>
      </c>
      <c r="E25" s="589">
        <f t="shared" ref="E25:L25" si="3">E17/E21</f>
        <v>0.1328822528002776</v>
      </c>
      <c r="F25" s="589">
        <f t="shared" si="3"/>
        <v>0.14573489717743027</v>
      </c>
      <c r="G25" s="589">
        <f t="shared" si="3"/>
        <v>0.16507435889559036</v>
      </c>
      <c r="H25" s="589">
        <f t="shared" si="3"/>
        <v>0.11278528694881454</v>
      </c>
      <c r="I25" s="589">
        <f t="shared" si="3"/>
        <v>0.11117049706039552</v>
      </c>
      <c r="J25" s="589">
        <f t="shared" si="3"/>
        <v>0.1513420902341519</v>
      </c>
      <c r="K25" s="589">
        <f t="shared" si="3"/>
        <v>0.1205029689137269</v>
      </c>
      <c r="L25" s="589">
        <f t="shared" si="3"/>
        <v>0.12334113973458236</v>
      </c>
    </row>
    <row r="26" spans="1:19" ht="4.5" customHeight="1" x14ac:dyDescent="0.2"/>
    <row r="27" spans="1:19" x14ac:dyDescent="0.2">
      <c r="A27" s="590" t="s">
        <v>681</v>
      </c>
      <c r="B27" s="591"/>
      <c r="C27" s="591"/>
      <c r="D27" s="591"/>
      <c r="E27" s="591"/>
      <c r="F27" s="592"/>
      <c r="G27" s="592"/>
      <c r="H27" s="592"/>
      <c r="I27" s="592"/>
      <c r="J27" s="592"/>
      <c r="K27" s="592"/>
      <c r="L27" s="592"/>
    </row>
    <row r="28" spans="1:19" ht="15" x14ac:dyDescent="0.2">
      <c r="A28" s="425" t="s">
        <v>747</v>
      </c>
    </row>
    <row r="29" spans="1:19" ht="15" x14ac:dyDescent="0.2">
      <c r="A29" s="425" t="s">
        <v>748</v>
      </c>
    </row>
    <row r="30" spans="1:19" ht="9" customHeight="1" x14ac:dyDescent="0.2"/>
    <row r="31" spans="1:19" ht="16.5" thickBot="1" x14ac:dyDescent="0.3">
      <c r="A31" s="576" t="s">
        <v>749</v>
      </c>
      <c r="B31" s="521"/>
      <c r="C31" s="521"/>
      <c r="D31" s="521"/>
      <c r="E31" s="521"/>
      <c r="F31" s="521"/>
      <c r="G31" s="521"/>
      <c r="H31" s="521"/>
      <c r="I31" s="521"/>
      <c r="J31" s="521"/>
      <c r="K31" s="418"/>
      <c r="L31" s="418"/>
    </row>
    <row r="32" spans="1:19" ht="18.75" customHeight="1" x14ac:dyDescent="0.25">
      <c r="A32" s="402" t="s">
        <v>920</v>
      </c>
      <c r="D32" s="402" t="s">
        <v>750</v>
      </c>
    </row>
    <row r="33" spans="1:19" ht="6.95" customHeight="1" x14ac:dyDescent="0.2">
      <c r="C33" s="593"/>
      <c r="I33" s="418"/>
    </row>
    <row r="34" spans="1:19" ht="12.75" customHeight="1" thickBot="1" x14ac:dyDescent="0.25">
      <c r="A34" s="523" t="s">
        <v>1</v>
      </c>
      <c r="B34" s="578"/>
      <c r="C34" s="523"/>
      <c r="D34" s="594"/>
      <c r="E34" s="1102" t="s">
        <v>122</v>
      </c>
      <c r="F34" s="1103"/>
      <c r="G34" s="1104"/>
      <c r="H34" s="1105" t="s">
        <v>123</v>
      </c>
      <c r="I34" s="1106"/>
      <c r="J34" s="1107"/>
      <c r="N34" s="1102" t="s">
        <v>122</v>
      </c>
      <c r="O34" s="1103"/>
      <c r="P34" s="1104"/>
      <c r="Q34" s="1105" t="s">
        <v>123</v>
      </c>
      <c r="R34" s="1106"/>
      <c r="S34" s="1107"/>
    </row>
    <row r="35" spans="1:19" ht="12.75" customHeight="1" thickTop="1" x14ac:dyDescent="0.2">
      <c r="A35" s="404" t="s">
        <v>201</v>
      </c>
      <c r="E35" s="595" t="s">
        <v>663</v>
      </c>
      <c r="F35" s="595" t="s">
        <v>734</v>
      </c>
      <c r="G35" s="595" t="s">
        <v>751</v>
      </c>
      <c r="H35" s="596" t="s">
        <v>663</v>
      </c>
      <c r="I35" s="596" t="s">
        <v>734</v>
      </c>
      <c r="J35" s="596" t="s">
        <v>751</v>
      </c>
      <c r="N35" s="595" t="s">
        <v>663</v>
      </c>
      <c r="O35" s="595" t="s">
        <v>734</v>
      </c>
      <c r="P35" s="595" t="s">
        <v>751</v>
      </c>
      <c r="Q35" s="596" t="s">
        <v>663</v>
      </c>
      <c r="R35" s="596" t="s">
        <v>734</v>
      </c>
      <c r="S35" s="596" t="s">
        <v>751</v>
      </c>
    </row>
    <row r="36" spans="1:19" ht="12.75" customHeight="1" x14ac:dyDescent="0.2">
      <c r="C36" s="597" t="s">
        <v>752</v>
      </c>
      <c r="D36" s="453"/>
      <c r="E36" s="598">
        <f>+N36*2</f>
        <v>7996.82</v>
      </c>
      <c r="F36" s="599">
        <f>+O36*2</f>
        <v>1225.48</v>
      </c>
      <c r="G36" s="600">
        <f>+F36+E36</f>
        <v>9222.2999999999993</v>
      </c>
      <c r="H36" s="601">
        <f>+Q36*2</f>
        <v>27990.3</v>
      </c>
      <c r="I36" s="602">
        <f>+R36*2</f>
        <v>1225.48</v>
      </c>
      <c r="J36" s="603">
        <f>+I36+H36</f>
        <v>29215.78</v>
      </c>
      <c r="M36" s="604" t="s">
        <v>752</v>
      </c>
      <c r="N36" s="605">
        <v>3998.41</v>
      </c>
      <c r="O36" s="606">
        <v>612.74</v>
      </c>
      <c r="P36" s="607">
        <f t="shared" ref="P36" si="4">SUM(N36:O36)</f>
        <v>4611.1499999999996</v>
      </c>
      <c r="Q36" s="608">
        <v>13995.15</v>
      </c>
      <c r="R36" s="609">
        <f>+O36</f>
        <v>612.74</v>
      </c>
      <c r="S36" s="610">
        <f t="shared" ref="S36" si="5">SUM(Q36:R36)</f>
        <v>14607.89</v>
      </c>
    </row>
    <row r="37" spans="1:19" ht="12.75" customHeight="1" x14ac:dyDescent="0.2">
      <c r="C37" s="611" t="s">
        <v>753</v>
      </c>
      <c r="D37" s="612"/>
      <c r="E37" s="613">
        <f>+N37*2</f>
        <v>8090.96</v>
      </c>
      <c r="F37" s="614">
        <f>+O37*2</f>
        <v>1225.48</v>
      </c>
      <c r="G37" s="615">
        <f>+F37+E37</f>
        <v>9316.44</v>
      </c>
      <c r="H37" s="616">
        <f>+Q37*2</f>
        <v>28338.1</v>
      </c>
      <c r="I37" s="617">
        <f>+R37*2</f>
        <v>1225.48</v>
      </c>
      <c r="J37" s="618">
        <f>+I37+H37</f>
        <v>29563.579999999998</v>
      </c>
      <c r="M37" s="619" t="s">
        <v>753</v>
      </c>
      <c r="N37" s="620">
        <v>4045.48</v>
      </c>
      <c r="O37" s="523">
        <f>+O36</f>
        <v>612.74</v>
      </c>
      <c r="P37" s="621">
        <f>+O37+N37</f>
        <v>4658.22</v>
      </c>
      <c r="Q37" s="622">
        <v>14169.05</v>
      </c>
      <c r="R37" s="623">
        <f>+O37</f>
        <v>612.74</v>
      </c>
      <c r="S37" s="624">
        <f>+R37+Q37</f>
        <v>14781.789999999999</v>
      </c>
    </row>
    <row r="38" spans="1:19" ht="12.75" customHeight="1" x14ac:dyDescent="0.2">
      <c r="C38" s="597" t="s">
        <v>754</v>
      </c>
      <c r="D38" s="452"/>
      <c r="E38" s="599"/>
      <c r="F38" s="599"/>
      <c r="G38" s="599"/>
      <c r="H38" s="625"/>
      <c r="I38" s="625"/>
      <c r="J38" s="626"/>
      <c r="M38" s="425"/>
      <c r="N38" s="627"/>
      <c r="O38" s="425"/>
      <c r="P38" s="628"/>
      <c r="Q38" s="627"/>
      <c r="R38" s="425"/>
      <c r="S38" s="425"/>
    </row>
    <row r="39" spans="1:19" ht="12.75" customHeight="1" x14ac:dyDescent="0.2">
      <c r="C39" s="1109" t="s">
        <v>755</v>
      </c>
      <c r="D39" s="1110"/>
      <c r="E39" s="1110"/>
      <c r="F39" s="1110"/>
      <c r="G39" s="1110"/>
      <c r="H39" s="1110"/>
      <c r="I39" s="1110"/>
      <c r="J39" s="1111"/>
      <c r="M39" s="425"/>
      <c r="N39" s="627"/>
      <c r="O39" s="425"/>
      <c r="P39" s="628"/>
      <c r="Q39" s="627"/>
      <c r="R39" s="425"/>
      <c r="S39" s="425"/>
    </row>
    <row r="40" spans="1:19" ht="12.75" customHeight="1" x14ac:dyDescent="0.2">
      <c r="C40" s="1112"/>
      <c r="D40" s="1113"/>
      <c r="E40" s="1113"/>
      <c r="F40" s="1113"/>
      <c r="G40" s="1113"/>
      <c r="H40" s="1113"/>
      <c r="I40" s="1113"/>
      <c r="J40" s="1114"/>
      <c r="M40" s="425"/>
      <c r="N40" s="627"/>
      <c r="O40" s="425"/>
      <c r="P40" s="628"/>
      <c r="Q40" s="627"/>
      <c r="R40" s="425"/>
      <c r="S40" s="425"/>
    </row>
    <row r="41" spans="1:19" s="418" customFormat="1" ht="4.5" customHeight="1" x14ac:dyDescent="0.2">
      <c r="D41" s="425"/>
      <c r="E41" s="614"/>
      <c r="F41" s="614"/>
      <c r="G41" s="629"/>
      <c r="H41" s="629"/>
      <c r="I41" s="629"/>
      <c r="J41" s="629"/>
      <c r="M41" s="425"/>
      <c r="N41" s="628"/>
      <c r="O41" s="425"/>
      <c r="P41" s="628"/>
      <c r="Q41" s="628"/>
      <c r="R41" s="425"/>
      <c r="S41" s="425"/>
    </row>
    <row r="42" spans="1:19" s="418" customFormat="1" ht="12.75" customHeight="1" x14ac:dyDescent="0.2">
      <c r="A42" s="404" t="s">
        <v>200</v>
      </c>
      <c r="D42" s="425"/>
      <c r="E42" s="614"/>
      <c r="F42" s="614"/>
      <c r="G42" s="629"/>
      <c r="H42" s="629"/>
      <c r="I42" s="629"/>
      <c r="J42" s="629"/>
      <c r="M42" s="425"/>
      <c r="N42" s="628"/>
      <c r="O42" s="425"/>
      <c r="P42" s="628"/>
      <c r="Q42" s="628"/>
      <c r="R42" s="425"/>
      <c r="S42" s="425"/>
    </row>
    <row r="43" spans="1:19" ht="12.75" customHeight="1" x14ac:dyDescent="0.2">
      <c r="C43" s="454" t="s">
        <v>756</v>
      </c>
      <c r="D43" s="453"/>
      <c r="E43" s="598">
        <f t="shared" ref="E43:F45" si="6">+N43*2</f>
        <v>6342.44</v>
      </c>
      <c r="F43" s="599">
        <f t="shared" si="6"/>
        <v>1082</v>
      </c>
      <c r="G43" s="626">
        <f>+F43+E43</f>
        <v>7424.44</v>
      </c>
      <c r="H43" s="601">
        <f t="shared" ref="H43:I45" si="7">+Q43*2</f>
        <v>20423.12</v>
      </c>
      <c r="I43" s="602">
        <f t="shared" si="7"/>
        <v>1082</v>
      </c>
      <c r="J43" s="603">
        <f>+I43+H43</f>
        <v>21505.119999999999</v>
      </c>
      <c r="M43" s="432" t="s">
        <v>756</v>
      </c>
      <c r="N43" s="605">
        <v>3171.22</v>
      </c>
      <c r="O43" s="606">
        <v>541</v>
      </c>
      <c r="P43" s="607">
        <f t="shared" ref="P43:P45" si="8">SUM(N43:O43)</f>
        <v>3712.22</v>
      </c>
      <c r="Q43" s="608">
        <v>10211.56</v>
      </c>
      <c r="R43" s="609">
        <f>+O43</f>
        <v>541</v>
      </c>
      <c r="S43" s="610">
        <f t="shared" ref="S43" si="9">SUM(Q43:R43)</f>
        <v>10752.56</v>
      </c>
    </row>
    <row r="44" spans="1:19" ht="12.75" customHeight="1" x14ac:dyDescent="0.2">
      <c r="C44" s="630" t="s">
        <v>757</v>
      </c>
      <c r="D44" s="612"/>
      <c r="E44" s="613">
        <f t="shared" si="6"/>
        <v>6342.44</v>
      </c>
      <c r="F44" s="614">
        <f t="shared" si="6"/>
        <v>726.14</v>
      </c>
      <c r="G44" s="631">
        <f>+F44+E44</f>
        <v>7068.58</v>
      </c>
      <c r="H44" s="616">
        <f t="shared" si="7"/>
        <v>20423.12</v>
      </c>
      <c r="I44" s="617">
        <f t="shared" si="7"/>
        <v>726.14</v>
      </c>
      <c r="J44" s="618">
        <f>+I44+H44</f>
        <v>21149.26</v>
      </c>
      <c r="M44" s="444" t="s">
        <v>757</v>
      </c>
      <c r="N44" s="632">
        <f>+N43</f>
        <v>3171.22</v>
      </c>
      <c r="O44" s="418">
        <v>363.07</v>
      </c>
      <c r="P44" s="633">
        <f t="shared" si="8"/>
        <v>3534.29</v>
      </c>
      <c r="Q44" s="634">
        <v>10211.56</v>
      </c>
      <c r="R44" s="635">
        <f>+O44</f>
        <v>363.07</v>
      </c>
      <c r="S44" s="636">
        <f>+R44+Q44</f>
        <v>10574.63</v>
      </c>
    </row>
    <row r="45" spans="1:19" ht="12.75" customHeight="1" x14ac:dyDescent="0.2">
      <c r="C45" s="630" t="s">
        <v>758</v>
      </c>
      <c r="D45" s="612"/>
      <c r="E45" s="613">
        <f t="shared" si="6"/>
        <v>3376.32</v>
      </c>
      <c r="F45" s="614">
        <f t="shared" si="6"/>
        <v>520</v>
      </c>
      <c r="G45" s="631">
        <f>+F45+E45</f>
        <v>3896.32</v>
      </c>
      <c r="H45" s="616">
        <f t="shared" si="7"/>
        <v>10080</v>
      </c>
      <c r="I45" s="617">
        <f t="shared" si="7"/>
        <v>520</v>
      </c>
      <c r="J45" s="618">
        <f>+I45+H45</f>
        <v>10600</v>
      </c>
      <c r="M45" s="436" t="s">
        <v>758</v>
      </c>
      <c r="N45" s="620">
        <v>1688.16</v>
      </c>
      <c r="O45" s="523">
        <v>260</v>
      </c>
      <c r="P45" s="621">
        <f t="shared" si="8"/>
        <v>1948.16</v>
      </c>
      <c r="Q45" s="622">
        <v>5040</v>
      </c>
      <c r="R45" s="623">
        <f>+O45</f>
        <v>260</v>
      </c>
      <c r="S45" s="637">
        <f t="shared" ref="S45" si="10">SUM(Q45:R45)</f>
        <v>5300</v>
      </c>
    </row>
    <row r="46" spans="1:19" ht="12.75" customHeight="1" x14ac:dyDescent="0.2">
      <c r="C46" s="597" t="s">
        <v>759</v>
      </c>
      <c r="D46" s="452"/>
      <c r="E46" s="599"/>
      <c r="F46" s="599"/>
      <c r="G46" s="625"/>
      <c r="H46" s="625"/>
      <c r="I46" s="625"/>
      <c r="J46" s="626"/>
    </row>
    <row r="47" spans="1:19" ht="12.75" customHeight="1" x14ac:dyDescent="0.2">
      <c r="C47" s="1084" t="s">
        <v>760</v>
      </c>
      <c r="D47" s="1071"/>
      <c r="E47" s="1071"/>
      <c r="F47" s="1071"/>
      <c r="G47" s="1071"/>
      <c r="H47" s="1071"/>
      <c r="I47" s="1071"/>
      <c r="J47" s="1085"/>
    </row>
    <row r="48" spans="1:19" ht="12.75" customHeight="1" x14ac:dyDescent="0.2">
      <c r="C48" s="1074"/>
      <c r="D48" s="1115"/>
      <c r="E48" s="1115"/>
      <c r="F48" s="1115"/>
      <c r="G48" s="1115"/>
      <c r="H48" s="1115"/>
      <c r="I48" s="1115"/>
      <c r="J48" s="1075"/>
    </row>
    <row r="49" spans="1:19" s="425" customFormat="1" ht="4.5" customHeight="1" x14ac:dyDescent="0.2">
      <c r="E49" s="629"/>
      <c r="F49" s="629"/>
      <c r="G49" s="629"/>
      <c r="H49" s="629"/>
      <c r="I49" s="629"/>
      <c r="J49" s="629"/>
    </row>
    <row r="50" spans="1:19" ht="12.75" customHeight="1" x14ac:dyDescent="0.2">
      <c r="A50" s="404" t="s">
        <v>199</v>
      </c>
      <c r="C50" s="630"/>
      <c r="D50" s="425"/>
      <c r="E50" s="629"/>
      <c r="F50" s="629"/>
      <c r="G50" s="629"/>
      <c r="H50" s="629"/>
      <c r="I50" s="629"/>
      <c r="J50" s="629"/>
    </row>
    <row r="51" spans="1:19" ht="12.75" customHeight="1" x14ac:dyDescent="0.2">
      <c r="C51" s="638" t="s">
        <v>761</v>
      </c>
      <c r="D51" s="437"/>
      <c r="E51" s="639">
        <f>+N51*2</f>
        <v>4892.18</v>
      </c>
      <c r="F51" s="640">
        <f>+O51*2</f>
        <v>967.24</v>
      </c>
      <c r="G51" s="641">
        <f>+F51+E51</f>
        <v>5859.42</v>
      </c>
      <c r="H51" s="642">
        <f>+Q51*2</f>
        <v>14679</v>
      </c>
      <c r="I51" s="643">
        <f>+R51*2</f>
        <v>967.24</v>
      </c>
      <c r="J51" s="644">
        <f>+I51+H51</f>
        <v>15646.24</v>
      </c>
      <c r="M51" s="439" t="s">
        <v>761</v>
      </c>
      <c r="N51" s="645">
        <v>2446.09</v>
      </c>
      <c r="O51" s="646">
        <v>483.62</v>
      </c>
      <c r="P51" s="647">
        <f>+O51+N51</f>
        <v>2929.71</v>
      </c>
      <c r="Q51" s="648">
        <v>7339.5</v>
      </c>
      <c r="R51" s="649">
        <v>483.62</v>
      </c>
      <c r="S51" s="650">
        <f>+R51+Q51</f>
        <v>7823.12</v>
      </c>
    </row>
    <row r="52" spans="1:19" ht="12.75" customHeight="1" x14ac:dyDescent="0.2">
      <c r="C52" s="597" t="s">
        <v>759</v>
      </c>
      <c r="D52" s="452"/>
      <c r="E52" s="651"/>
      <c r="F52" s="651"/>
      <c r="G52" s="652"/>
      <c r="H52" s="472"/>
      <c r="I52" s="472"/>
      <c r="J52" s="653"/>
      <c r="M52" s="425"/>
      <c r="N52" s="654"/>
      <c r="O52" s="654"/>
      <c r="P52" s="654"/>
      <c r="Q52" s="654"/>
      <c r="R52" s="654"/>
      <c r="S52" s="654"/>
    </row>
    <row r="53" spans="1:19" ht="12.75" customHeight="1" x14ac:dyDescent="0.2">
      <c r="C53" s="655" t="s">
        <v>762</v>
      </c>
      <c r="D53" s="509"/>
      <c r="E53" s="656"/>
      <c r="F53" s="656"/>
      <c r="G53" s="657"/>
      <c r="H53" s="657"/>
      <c r="I53" s="657"/>
      <c r="J53" s="658"/>
      <c r="M53" s="425"/>
      <c r="N53" s="654"/>
      <c r="O53" s="654"/>
      <c r="P53" s="654"/>
      <c r="Q53" s="654"/>
      <c r="R53" s="654"/>
      <c r="S53" s="654"/>
    </row>
    <row r="54" spans="1:19" ht="4.5" customHeight="1" x14ac:dyDescent="0.2">
      <c r="A54" s="425"/>
      <c r="B54" s="425"/>
      <c r="C54" s="425"/>
      <c r="D54" s="425"/>
      <c r="E54" s="629"/>
      <c r="F54" s="629"/>
      <c r="G54" s="629"/>
      <c r="H54" s="629"/>
      <c r="I54" s="629"/>
      <c r="J54" s="629"/>
      <c r="N54" s="659"/>
    </row>
    <row r="55" spans="1:19" ht="12.75" customHeight="1" x14ac:dyDescent="0.2">
      <c r="A55" s="404" t="s">
        <v>197</v>
      </c>
      <c r="C55" s="630"/>
      <c r="D55" s="425"/>
      <c r="E55" s="629"/>
      <c r="F55" s="629"/>
      <c r="G55" s="629"/>
      <c r="H55" s="629"/>
      <c r="I55" s="629"/>
      <c r="J55" s="629"/>
    </row>
    <row r="56" spans="1:19" ht="12.75" customHeight="1" x14ac:dyDescent="0.2">
      <c r="C56" s="454" t="s">
        <v>761</v>
      </c>
      <c r="D56" s="453"/>
      <c r="E56" s="660">
        <f>N56*2</f>
        <v>3326</v>
      </c>
      <c r="F56" s="661">
        <f>O56*2</f>
        <v>416</v>
      </c>
      <c r="G56" s="626">
        <f>+F56+E56</f>
        <v>3742</v>
      </c>
      <c r="H56" s="662">
        <f>Q56*2</f>
        <v>12146</v>
      </c>
      <c r="I56" s="663">
        <f>R56*2</f>
        <v>416</v>
      </c>
      <c r="J56" s="603">
        <f>+I56+H56</f>
        <v>12562</v>
      </c>
      <c r="M56" s="439" t="s">
        <v>761</v>
      </c>
      <c r="N56" s="645">
        <v>1663</v>
      </c>
      <c r="O56" s="646">
        <v>208</v>
      </c>
      <c r="P56" s="647">
        <f>+O56+N56</f>
        <v>1871</v>
      </c>
      <c r="Q56" s="648">
        <v>6073</v>
      </c>
      <c r="R56" s="649">
        <v>208</v>
      </c>
      <c r="S56" s="650">
        <f>+R56+Q56</f>
        <v>6281</v>
      </c>
    </row>
    <row r="57" spans="1:19" ht="12.75" customHeight="1" x14ac:dyDescent="0.2">
      <c r="C57" s="597" t="s">
        <v>759</v>
      </c>
      <c r="D57" s="452"/>
      <c r="E57" s="664"/>
      <c r="F57" s="664"/>
      <c r="G57" s="665"/>
      <c r="H57" s="665"/>
      <c r="I57" s="665"/>
      <c r="J57" s="666"/>
      <c r="M57" s="425"/>
      <c r="N57" s="1108"/>
      <c r="O57" s="1108"/>
      <c r="P57" s="1108"/>
      <c r="Q57" s="1108"/>
      <c r="R57" s="1108"/>
      <c r="S57" s="1108"/>
    </row>
    <row r="58" spans="1:19" ht="12.75" customHeight="1" x14ac:dyDescent="0.2">
      <c r="C58" s="655" t="s">
        <v>763</v>
      </c>
      <c r="D58" s="509"/>
      <c r="E58" s="667"/>
      <c r="F58" s="667"/>
      <c r="G58" s="668"/>
      <c r="H58" s="668"/>
      <c r="I58" s="668"/>
      <c r="J58" s="669"/>
      <c r="M58" s="425"/>
      <c r="N58" s="1108"/>
      <c r="O58" s="1108"/>
      <c r="P58" s="1108"/>
      <c r="Q58" s="1108"/>
      <c r="R58" s="1108"/>
      <c r="S58" s="1108"/>
    </row>
    <row r="59" spans="1:19" ht="12.75" customHeight="1" x14ac:dyDescent="0.2">
      <c r="A59" s="425"/>
      <c r="B59" s="425"/>
      <c r="C59" s="425"/>
      <c r="D59" s="425"/>
      <c r="E59" s="629"/>
      <c r="F59" s="629"/>
      <c r="G59" s="629"/>
      <c r="H59" s="629"/>
      <c r="I59" s="629"/>
      <c r="J59" s="629"/>
    </row>
    <row r="60" spans="1:19" ht="18.75" customHeight="1" x14ac:dyDescent="0.25">
      <c r="A60" s="402" t="s">
        <v>920</v>
      </c>
      <c r="C60" s="593"/>
      <c r="D60" s="402" t="s">
        <v>764</v>
      </c>
      <c r="I60" s="418"/>
    </row>
    <row r="61" spans="1:19" ht="6.95" customHeight="1" x14ac:dyDescent="0.2">
      <c r="C61" s="593"/>
      <c r="I61" s="418"/>
    </row>
    <row r="62" spans="1:19" ht="13.5" thickBot="1" x14ac:dyDescent="0.25">
      <c r="A62" s="523" t="s">
        <v>1</v>
      </c>
      <c r="B62" s="578"/>
      <c r="C62" s="523"/>
      <c r="D62" s="594"/>
      <c r="E62" s="1102" t="s">
        <v>122</v>
      </c>
      <c r="F62" s="1103"/>
      <c r="G62" s="1104"/>
      <c r="H62" s="1105" t="s">
        <v>123</v>
      </c>
      <c r="I62" s="1106"/>
      <c r="J62" s="1107"/>
      <c r="N62" s="1102" t="s">
        <v>122</v>
      </c>
      <c r="O62" s="1103"/>
      <c r="P62" s="1104"/>
      <c r="Q62" s="1105" t="s">
        <v>123</v>
      </c>
      <c r="R62" s="1106"/>
      <c r="S62" s="1107"/>
    </row>
    <row r="63" spans="1:19" ht="13.5" thickTop="1" x14ac:dyDescent="0.2">
      <c r="A63" s="404" t="s">
        <v>201</v>
      </c>
      <c r="E63" s="595" t="s">
        <v>663</v>
      </c>
      <c r="F63" s="595" t="s">
        <v>734</v>
      </c>
      <c r="G63" s="595" t="s">
        <v>751</v>
      </c>
      <c r="H63" s="596" t="s">
        <v>663</v>
      </c>
      <c r="I63" s="596" t="s">
        <v>734</v>
      </c>
      <c r="J63" s="596" t="s">
        <v>751</v>
      </c>
      <c r="N63" s="595" t="s">
        <v>663</v>
      </c>
      <c r="O63" s="595" t="s">
        <v>734</v>
      </c>
      <c r="P63" s="595" t="s">
        <v>751</v>
      </c>
      <c r="Q63" s="596" t="s">
        <v>663</v>
      </c>
      <c r="R63" s="596" t="s">
        <v>734</v>
      </c>
      <c r="S63" s="596" t="s">
        <v>751</v>
      </c>
    </row>
    <row r="64" spans="1:19" ht="12.75" customHeight="1" x14ac:dyDescent="0.2">
      <c r="C64" s="597" t="s">
        <v>765</v>
      </c>
      <c r="D64" s="452"/>
      <c r="E64" s="670">
        <f t="shared" ref="E64:F96" si="11">N64*2</f>
        <v>6987.64</v>
      </c>
      <c r="F64" s="671">
        <f t="shared" si="11"/>
        <v>1162.72</v>
      </c>
      <c r="G64" s="672">
        <f>+E64+F64</f>
        <v>8150.3600000000006</v>
      </c>
      <c r="H64" s="673">
        <f t="shared" ref="H64:I96" si="12">Q64*2</f>
        <v>24665.439999999999</v>
      </c>
      <c r="I64" s="674">
        <f t="shared" si="12"/>
        <v>1162.72</v>
      </c>
      <c r="J64" s="675">
        <f>+H64+I64</f>
        <v>25828.16</v>
      </c>
      <c r="M64" s="604" t="s">
        <v>765</v>
      </c>
      <c r="N64" s="676">
        <v>3493.82</v>
      </c>
      <c r="O64" s="606">
        <v>581.36</v>
      </c>
      <c r="P64" s="676">
        <f>SUM(N64:O64)</f>
        <v>4075.1800000000003</v>
      </c>
      <c r="Q64" s="608">
        <v>12332.72</v>
      </c>
      <c r="R64" s="609">
        <f>+O64</f>
        <v>581.36</v>
      </c>
      <c r="S64" s="677">
        <f>SUM(Q64:R64)</f>
        <v>12914.08</v>
      </c>
    </row>
    <row r="65" spans="3:19" x14ac:dyDescent="0.2">
      <c r="C65" s="611" t="s">
        <v>766</v>
      </c>
      <c r="D65" s="425"/>
      <c r="E65" s="613">
        <f t="shared" si="11"/>
        <v>21061.64</v>
      </c>
      <c r="F65" s="614">
        <f t="shared" si="11"/>
        <v>1162.72</v>
      </c>
      <c r="G65" s="615">
        <f t="shared" ref="G65:G96" si="13">+E65+F65</f>
        <v>22224.36</v>
      </c>
      <c r="H65" s="616">
        <f t="shared" si="12"/>
        <v>38739.440000000002</v>
      </c>
      <c r="I65" s="617">
        <f t="shared" si="12"/>
        <v>1162.72</v>
      </c>
      <c r="J65" s="618">
        <f t="shared" ref="J65:J91" si="14">+H65+I65</f>
        <v>39902.160000000003</v>
      </c>
      <c r="M65" s="678" t="s">
        <v>766</v>
      </c>
      <c r="N65" s="679">
        <v>10530.82</v>
      </c>
      <c r="O65" s="418">
        <v>581.36</v>
      </c>
      <c r="P65" s="679">
        <f t="shared" ref="P65:P96" si="15">SUM(N65:O65)</f>
        <v>11112.18</v>
      </c>
      <c r="Q65" s="634">
        <v>19369.72</v>
      </c>
      <c r="R65" s="635">
        <f>+R64</f>
        <v>581.36</v>
      </c>
      <c r="S65" s="680">
        <f t="shared" ref="S65:S96" si="16">SUM(Q65:R65)</f>
        <v>19951.080000000002</v>
      </c>
    </row>
    <row r="66" spans="3:19" x14ac:dyDescent="0.2">
      <c r="C66" s="611" t="s">
        <v>767</v>
      </c>
      <c r="D66" s="425"/>
      <c r="E66" s="613">
        <f t="shared" si="11"/>
        <v>11737.44</v>
      </c>
      <c r="F66" s="614">
        <f t="shared" si="11"/>
        <v>1162.72</v>
      </c>
      <c r="G66" s="615">
        <f t="shared" si="13"/>
        <v>12900.16</v>
      </c>
      <c r="H66" s="616">
        <f t="shared" si="12"/>
        <v>29415.24</v>
      </c>
      <c r="I66" s="617">
        <f t="shared" si="12"/>
        <v>1162.72</v>
      </c>
      <c r="J66" s="618">
        <f t="shared" si="14"/>
        <v>30577.960000000003</v>
      </c>
      <c r="M66" s="678" t="s">
        <v>767</v>
      </c>
      <c r="N66" s="679">
        <v>5868.72</v>
      </c>
      <c r="O66" s="418">
        <f>+O65</f>
        <v>581.36</v>
      </c>
      <c r="P66" s="679">
        <f t="shared" si="15"/>
        <v>6450.08</v>
      </c>
      <c r="Q66" s="634">
        <v>14707.62</v>
      </c>
      <c r="R66" s="635">
        <v>581.36</v>
      </c>
      <c r="S66" s="680">
        <f t="shared" si="16"/>
        <v>15288.980000000001</v>
      </c>
    </row>
    <row r="67" spans="3:19" x14ac:dyDescent="0.2">
      <c r="C67" s="611" t="s">
        <v>768</v>
      </c>
      <c r="D67" s="425"/>
      <c r="E67" s="613">
        <f t="shared" si="11"/>
        <v>14247.64</v>
      </c>
      <c r="F67" s="614">
        <f t="shared" si="11"/>
        <v>1162.72</v>
      </c>
      <c r="G67" s="615">
        <f t="shared" si="13"/>
        <v>15410.359999999999</v>
      </c>
      <c r="H67" s="616">
        <f t="shared" si="12"/>
        <v>31925.439999999999</v>
      </c>
      <c r="I67" s="617">
        <f t="shared" si="12"/>
        <v>1162.72</v>
      </c>
      <c r="J67" s="618">
        <f t="shared" si="14"/>
        <v>33088.159999999996</v>
      </c>
      <c r="M67" s="678" t="s">
        <v>768</v>
      </c>
      <c r="N67" s="679">
        <v>7123.82</v>
      </c>
      <c r="O67" s="418">
        <f>+O66</f>
        <v>581.36</v>
      </c>
      <c r="P67" s="679">
        <f t="shared" si="15"/>
        <v>7705.1799999999994</v>
      </c>
      <c r="Q67" s="634">
        <v>15962.72</v>
      </c>
      <c r="R67" s="635">
        <f>+R66</f>
        <v>581.36</v>
      </c>
      <c r="S67" s="680">
        <f t="shared" si="16"/>
        <v>16544.079999999998</v>
      </c>
    </row>
    <row r="68" spans="3:19" x14ac:dyDescent="0.2">
      <c r="C68" s="611" t="s">
        <v>769</v>
      </c>
      <c r="D68" s="418"/>
      <c r="E68" s="613">
        <f t="shared" si="11"/>
        <v>14308.5</v>
      </c>
      <c r="F68" s="614">
        <f t="shared" si="11"/>
        <v>1162.72</v>
      </c>
      <c r="G68" s="615">
        <f t="shared" si="13"/>
        <v>15471.22</v>
      </c>
      <c r="H68" s="616">
        <f t="shared" si="12"/>
        <v>31986.3</v>
      </c>
      <c r="I68" s="617">
        <f t="shared" si="12"/>
        <v>1162.72</v>
      </c>
      <c r="J68" s="618">
        <f t="shared" si="14"/>
        <v>33149.019999999997</v>
      </c>
      <c r="M68" s="678" t="s">
        <v>769</v>
      </c>
      <c r="N68" s="679">
        <v>7154.25</v>
      </c>
      <c r="O68" s="418">
        <v>581.36</v>
      </c>
      <c r="P68" s="679">
        <f t="shared" si="15"/>
        <v>7735.61</v>
      </c>
      <c r="Q68" s="634">
        <v>15993.15</v>
      </c>
      <c r="R68" s="635">
        <v>581.36</v>
      </c>
      <c r="S68" s="680">
        <f t="shared" si="16"/>
        <v>16574.509999999998</v>
      </c>
    </row>
    <row r="69" spans="3:19" x14ac:dyDescent="0.2">
      <c r="C69" s="611" t="s">
        <v>770</v>
      </c>
      <c r="D69" s="425"/>
      <c r="E69" s="613">
        <f t="shared" si="11"/>
        <v>18561.64</v>
      </c>
      <c r="F69" s="614">
        <f t="shared" si="11"/>
        <v>1162.72</v>
      </c>
      <c r="G69" s="631">
        <f t="shared" si="13"/>
        <v>19724.36</v>
      </c>
      <c r="H69" s="616">
        <f t="shared" si="12"/>
        <v>36239.440000000002</v>
      </c>
      <c r="I69" s="617">
        <f t="shared" si="12"/>
        <v>1162.72</v>
      </c>
      <c r="J69" s="618">
        <f t="shared" si="14"/>
        <v>37402.160000000003</v>
      </c>
      <c r="M69" s="678" t="s">
        <v>771</v>
      </c>
      <c r="N69" s="679">
        <v>9280.82</v>
      </c>
      <c r="O69" s="418">
        <v>581.36</v>
      </c>
      <c r="P69" s="679">
        <f t="shared" si="15"/>
        <v>9862.18</v>
      </c>
      <c r="Q69" s="634">
        <v>18119.72</v>
      </c>
      <c r="R69" s="635">
        <v>581.36</v>
      </c>
      <c r="S69" s="680">
        <f t="shared" si="16"/>
        <v>18701.080000000002</v>
      </c>
    </row>
    <row r="70" spans="3:19" x14ac:dyDescent="0.2">
      <c r="C70" s="611" t="s">
        <v>772</v>
      </c>
      <c r="D70" s="425"/>
      <c r="E70" s="613">
        <f t="shared" si="11"/>
        <v>21337.200000000001</v>
      </c>
      <c r="F70" s="614">
        <f t="shared" si="11"/>
        <v>1162.72</v>
      </c>
      <c r="G70" s="631">
        <f t="shared" si="13"/>
        <v>22499.920000000002</v>
      </c>
      <c r="H70" s="616">
        <f t="shared" si="12"/>
        <v>39015</v>
      </c>
      <c r="I70" s="617">
        <f t="shared" si="12"/>
        <v>1162.72</v>
      </c>
      <c r="J70" s="618">
        <f t="shared" si="14"/>
        <v>40177.72</v>
      </c>
      <c r="M70" s="678" t="s">
        <v>773</v>
      </c>
      <c r="N70" s="679">
        <v>10668.6</v>
      </c>
      <c r="O70" s="418">
        <v>581.36</v>
      </c>
      <c r="P70" s="679">
        <f t="shared" si="15"/>
        <v>11249.960000000001</v>
      </c>
      <c r="Q70" s="634">
        <v>19507.5</v>
      </c>
      <c r="R70" s="635">
        <v>581.36</v>
      </c>
      <c r="S70" s="680">
        <f t="shared" si="16"/>
        <v>20088.86</v>
      </c>
    </row>
    <row r="71" spans="3:19" x14ac:dyDescent="0.2">
      <c r="C71" s="630" t="s">
        <v>774</v>
      </c>
      <c r="D71" s="425"/>
      <c r="E71" s="613">
        <f t="shared" si="11"/>
        <v>15087.78</v>
      </c>
      <c r="F71" s="614">
        <f t="shared" si="11"/>
        <v>1162.72</v>
      </c>
      <c r="G71" s="631">
        <f t="shared" si="13"/>
        <v>16250.5</v>
      </c>
      <c r="H71" s="616">
        <f t="shared" si="12"/>
        <v>32765.58</v>
      </c>
      <c r="I71" s="617">
        <f t="shared" si="12"/>
        <v>1162.72</v>
      </c>
      <c r="J71" s="618">
        <f t="shared" si="14"/>
        <v>33928.300000000003</v>
      </c>
      <c r="M71" s="444" t="s">
        <v>774</v>
      </c>
      <c r="N71" s="679">
        <v>7543.89</v>
      </c>
      <c r="O71" s="418">
        <v>581.36</v>
      </c>
      <c r="P71" s="679">
        <f t="shared" si="15"/>
        <v>8125.25</v>
      </c>
      <c r="Q71" s="634">
        <v>16382.79</v>
      </c>
      <c r="R71" s="635">
        <v>581.36</v>
      </c>
      <c r="S71" s="680">
        <f t="shared" si="16"/>
        <v>16964.150000000001</v>
      </c>
    </row>
    <row r="72" spans="3:19" ht="15" x14ac:dyDescent="0.2">
      <c r="C72" s="630" t="s">
        <v>775</v>
      </c>
      <c r="D72" s="425"/>
      <c r="E72" s="613">
        <f t="shared" si="11"/>
        <v>28281.78</v>
      </c>
      <c r="F72" s="614">
        <f t="shared" si="11"/>
        <v>1224.4000000000001</v>
      </c>
      <c r="G72" s="631">
        <f t="shared" si="13"/>
        <v>29506.18</v>
      </c>
      <c r="H72" s="616">
        <f t="shared" si="12"/>
        <v>53542.94</v>
      </c>
      <c r="I72" s="617">
        <f t="shared" si="12"/>
        <v>1224.4000000000001</v>
      </c>
      <c r="J72" s="618">
        <f t="shared" si="14"/>
        <v>54767.340000000004</v>
      </c>
      <c r="M72" s="444" t="s">
        <v>776</v>
      </c>
      <c r="N72" s="679">
        <v>14140.89</v>
      </c>
      <c r="O72" s="679">
        <v>612.20000000000005</v>
      </c>
      <c r="P72" s="679">
        <f t="shared" si="15"/>
        <v>14753.09</v>
      </c>
      <c r="Q72" s="634">
        <v>26771.47</v>
      </c>
      <c r="R72" s="681">
        <v>612.20000000000005</v>
      </c>
      <c r="S72" s="680">
        <f t="shared" si="16"/>
        <v>27383.670000000002</v>
      </c>
    </row>
    <row r="73" spans="3:19" ht="15" x14ac:dyDescent="0.2">
      <c r="C73" s="630" t="s">
        <v>777</v>
      </c>
      <c r="D73" s="425"/>
      <c r="E73" s="613">
        <f t="shared" si="11"/>
        <v>39280.26</v>
      </c>
      <c r="F73" s="614">
        <f t="shared" si="11"/>
        <v>1224.4000000000001</v>
      </c>
      <c r="G73" s="631">
        <f t="shared" si="13"/>
        <v>40504.660000000003</v>
      </c>
      <c r="H73" s="616">
        <f t="shared" si="12"/>
        <v>74365.2</v>
      </c>
      <c r="I73" s="617">
        <f t="shared" si="12"/>
        <v>1224.4000000000001</v>
      </c>
      <c r="J73" s="618">
        <f t="shared" si="14"/>
        <v>75589.599999999991</v>
      </c>
      <c r="M73" s="444" t="s">
        <v>778</v>
      </c>
      <c r="N73" s="679">
        <v>19640.13</v>
      </c>
      <c r="O73" s="679">
        <v>612.20000000000005</v>
      </c>
      <c r="P73" s="679">
        <f t="shared" si="15"/>
        <v>20252.330000000002</v>
      </c>
      <c r="Q73" s="634">
        <v>37182.6</v>
      </c>
      <c r="R73" s="681">
        <v>612.20000000000005</v>
      </c>
      <c r="S73" s="680">
        <f t="shared" si="16"/>
        <v>37794.799999999996</v>
      </c>
    </row>
    <row r="74" spans="3:19" x14ac:dyDescent="0.2">
      <c r="C74" s="630" t="s">
        <v>779</v>
      </c>
      <c r="D74" s="425"/>
      <c r="E74" s="613">
        <f t="shared" si="11"/>
        <v>17761.240000000002</v>
      </c>
      <c r="F74" s="614">
        <f t="shared" si="11"/>
        <v>1162.72</v>
      </c>
      <c r="G74" s="631">
        <f t="shared" si="13"/>
        <v>18923.960000000003</v>
      </c>
      <c r="H74" s="616">
        <f t="shared" si="12"/>
        <v>17761.240000000002</v>
      </c>
      <c r="I74" s="617">
        <f t="shared" si="12"/>
        <v>1162.72</v>
      </c>
      <c r="J74" s="618">
        <f t="shared" si="14"/>
        <v>18923.960000000003</v>
      </c>
      <c r="M74" s="444" t="s">
        <v>779</v>
      </c>
      <c r="N74" s="679">
        <v>8880.6200000000008</v>
      </c>
      <c r="O74" s="418">
        <v>581.36</v>
      </c>
      <c r="P74" s="679">
        <f t="shared" si="15"/>
        <v>9461.9800000000014</v>
      </c>
      <c r="Q74" s="634">
        <v>8880.6200000000008</v>
      </c>
      <c r="R74" s="635">
        <v>581.36</v>
      </c>
      <c r="S74" s="680">
        <f t="shared" si="16"/>
        <v>9461.9800000000014</v>
      </c>
    </row>
    <row r="75" spans="3:19" x14ac:dyDescent="0.2">
      <c r="C75" s="611" t="s">
        <v>780</v>
      </c>
      <c r="D75" s="425"/>
      <c r="E75" s="613">
        <f t="shared" si="11"/>
        <v>8601.24</v>
      </c>
      <c r="F75" s="614">
        <f t="shared" si="11"/>
        <v>1162.72</v>
      </c>
      <c r="G75" s="631">
        <f t="shared" si="13"/>
        <v>9763.9599999999991</v>
      </c>
      <c r="H75" s="616">
        <f t="shared" si="12"/>
        <v>26278.26</v>
      </c>
      <c r="I75" s="617">
        <f t="shared" si="12"/>
        <v>1162.72</v>
      </c>
      <c r="J75" s="618">
        <f t="shared" si="14"/>
        <v>27440.98</v>
      </c>
      <c r="M75" s="678" t="s">
        <v>780</v>
      </c>
      <c r="N75" s="679">
        <v>4300.62</v>
      </c>
      <c r="O75" s="418">
        <v>581.36</v>
      </c>
      <c r="P75" s="679">
        <f t="shared" si="15"/>
        <v>4881.9799999999996</v>
      </c>
      <c r="Q75" s="634">
        <v>13139.13</v>
      </c>
      <c r="R75" s="635">
        <v>581.36</v>
      </c>
      <c r="S75" s="680">
        <f t="shared" si="16"/>
        <v>13720.49</v>
      </c>
    </row>
    <row r="76" spans="3:19" x14ac:dyDescent="0.2">
      <c r="C76" s="611" t="s">
        <v>781</v>
      </c>
      <c r="D76" s="425"/>
      <c r="E76" s="613">
        <f t="shared" si="11"/>
        <v>19017.04</v>
      </c>
      <c r="F76" s="614">
        <f t="shared" si="11"/>
        <v>1162.72</v>
      </c>
      <c r="G76" s="631">
        <f t="shared" si="13"/>
        <v>20179.760000000002</v>
      </c>
      <c r="H76" s="616">
        <f t="shared" si="12"/>
        <v>36694.839999999997</v>
      </c>
      <c r="I76" s="617">
        <f t="shared" si="12"/>
        <v>1162.72</v>
      </c>
      <c r="J76" s="618">
        <f t="shared" si="14"/>
        <v>37857.56</v>
      </c>
      <c r="M76" s="678" t="s">
        <v>781</v>
      </c>
      <c r="N76" s="679">
        <v>9508.52</v>
      </c>
      <c r="O76" s="418">
        <v>581.36</v>
      </c>
      <c r="P76" s="679">
        <f t="shared" si="15"/>
        <v>10089.880000000001</v>
      </c>
      <c r="Q76" s="634">
        <v>18347.419999999998</v>
      </c>
      <c r="R76" s="635">
        <v>581.36</v>
      </c>
      <c r="S76" s="680">
        <f t="shared" si="16"/>
        <v>18928.78</v>
      </c>
    </row>
    <row r="77" spans="3:19" x14ac:dyDescent="0.2">
      <c r="C77" s="611" t="s">
        <v>782</v>
      </c>
      <c r="D77" s="425"/>
      <c r="E77" s="613">
        <f t="shared" si="11"/>
        <v>6285.84</v>
      </c>
      <c r="F77" s="614">
        <f t="shared" si="11"/>
        <v>1162.72</v>
      </c>
      <c r="G77" s="615">
        <f t="shared" si="13"/>
        <v>7448.56</v>
      </c>
      <c r="H77" s="616">
        <f t="shared" si="12"/>
        <v>24665.439999999999</v>
      </c>
      <c r="I77" s="617">
        <f t="shared" si="12"/>
        <v>1162.72</v>
      </c>
      <c r="J77" s="618">
        <f t="shared" si="14"/>
        <v>25828.16</v>
      </c>
      <c r="M77" s="678" t="s">
        <v>782</v>
      </c>
      <c r="N77" s="679">
        <v>3142.92</v>
      </c>
      <c r="O77" s="418">
        <v>581.36</v>
      </c>
      <c r="P77" s="679">
        <f t="shared" si="15"/>
        <v>3724.28</v>
      </c>
      <c r="Q77" s="634">
        <v>12332.72</v>
      </c>
      <c r="R77" s="635">
        <v>581.36</v>
      </c>
      <c r="S77" s="680">
        <f t="shared" si="16"/>
        <v>12914.08</v>
      </c>
    </row>
    <row r="78" spans="3:19" x14ac:dyDescent="0.2">
      <c r="C78" s="611" t="s">
        <v>783</v>
      </c>
      <c r="D78" s="425"/>
      <c r="E78" s="613">
        <f t="shared" si="11"/>
        <v>8238.84</v>
      </c>
      <c r="F78" s="614">
        <f t="shared" si="11"/>
        <v>1162.72</v>
      </c>
      <c r="G78" s="615">
        <f t="shared" si="13"/>
        <v>9401.56</v>
      </c>
      <c r="H78" s="616">
        <f t="shared" si="12"/>
        <v>25916.639999999999</v>
      </c>
      <c r="I78" s="617">
        <f t="shared" si="12"/>
        <v>1162.72</v>
      </c>
      <c r="J78" s="618">
        <f t="shared" si="14"/>
        <v>27079.360000000001</v>
      </c>
      <c r="M78" s="678" t="s">
        <v>783</v>
      </c>
      <c r="N78" s="679">
        <v>4119.42</v>
      </c>
      <c r="O78" s="418">
        <v>581.36</v>
      </c>
      <c r="P78" s="679">
        <f t="shared" si="15"/>
        <v>4700.78</v>
      </c>
      <c r="Q78" s="634">
        <v>12958.32</v>
      </c>
      <c r="R78" s="635">
        <v>581.36</v>
      </c>
      <c r="S78" s="680">
        <f t="shared" si="16"/>
        <v>13539.68</v>
      </c>
    </row>
    <row r="79" spans="3:19" x14ac:dyDescent="0.2">
      <c r="C79" s="630" t="s">
        <v>784</v>
      </c>
      <c r="D79" s="425"/>
      <c r="E79" s="613">
        <f t="shared" si="11"/>
        <v>14509.44</v>
      </c>
      <c r="F79" s="614">
        <f t="shared" si="11"/>
        <v>1162.72</v>
      </c>
      <c r="G79" s="631">
        <f t="shared" si="13"/>
        <v>15672.16</v>
      </c>
      <c r="H79" s="616">
        <f t="shared" si="12"/>
        <v>32187.24</v>
      </c>
      <c r="I79" s="617">
        <f t="shared" si="12"/>
        <v>1162.72</v>
      </c>
      <c r="J79" s="618">
        <f>+H79+I79</f>
        <v>33349.96</v>
      </c>
      <c r="M79" s="444" t="s">
        <v>784</v>
      </c>
      <c r="N79" s="679">
        <v>7254.72</v>
      </c>
      <c r="O79" s="418">
        <v>581.36</v>
      </c>
      <c r="P79" s="679">
        <f t="shared" si="15"/>
        <v>7836.08</v>
      </c>
      <c r="Q79" s="634">
        <v>16093.62</v>
      </c>
      <c r="R79" s="635">
        <v>581.36</v>
      </c>
      <c r="S79" s="680">
        <f t="shared" si="16"/>
        <v>16674.98</v>
      </c>
    </row>
    <row r="80" spans="3:19" x14ac:dyDescent="0.2">
      <c r="C80" s="630" t="s">
        <v>785</v>
      </c>
      <c r="D80" s="425"/>
      <c r="E80" s="613">
        <f t="shared" si="11"/>
        <v>17927.04</v>
      </c>
      <c r="F80" s="614">
        <f t="shared" si="11"/>
        <v>1162.72</v>
      </c>
      <c r="G80" s="631">
        <f t="shared" si="13"/>
        <v>19089.760000000002</v>
      </c>
      <c r="H80" s="616">
        <f t="shared" si="12"/>
        <v>35604.839999999997</v>
      </c>
      <c r="I80" s="617">
        <f t="shared" si="12"/>
        <v>1162.72</v>
      </c>
      <c r="J80" s="618">
        <f>+H80+I80</f>
        <v>36767.56</v>
      </c>
      <c r="M80" s="444" t="s">
        <v>785</v>
      </c>
      <c r="N80" s="679">
        <v>8963.52</v>
      </c>
      <c r="O80" s="418">
        <v>581.36</v>
      </c>
      <c r="P80" s="679">
        <f t="shared" si="15"/>
        <v>9544.880000000001</v>
      </c>
      <c r="Q80" s="634">
        <v>17802.419999999998</v>
      </c>
      <c r="R80" s="635">
        <v>581.36</v>
      </c>
      <c r="S80" s="680">
        <f t="shared" si="16"/>
        <v>18383.78</v>
      </c>
    </row>
    <row r="81" spans="3:19" x14ac:dyDescent="0.2">
      <c r="C81" s="611" t="s">
        <v>786</v>
      </c>
      <c r="D81" s="425"/>
      <c r="E81" s="613">
        <f t="shared" si="11"/>
        <v>13564.98</v>
      </c>
      <c r="F81" s="614">
        <f t="shared" si="11"/>
        <v>1057.44</v>
      </c>
      <c r="G81" s="631">
        <f t="shared" si="13"/>
        <v>14622.42</v>
      </c>
      <c r="H81" s="616">
        <f t="shared" si="12"/>
        <v>17893.68</v>
      </c>
      <c r="I81" s="617">
        <f t="shared" si="12"/>
        <v>1057.44</v>
      </c>
      <c r="J81" s="618">
        <f t="shared" si="14"/>
        <v>18951.12</v>
      </c>
      <c r="M81" s="678" t="s">
        <v>786</v>
      </c>
      <c r="N81" s="679">
        <v>6782.49</v>
      </c>
      <c r="O81" s="418">
        <v>528.72</v>
      </c>
      <c r="P81" s="679">
        <f t="shared" si="15"/>
        <v>7311.21</v>
      </c>
      <c r="Q81" s="634">
        <v>8946.84</v>
      </c>
      <c r="R81" s="635">
        <v>528.72</v>
      </c>
      <c r="S81" s="680">
        <f t="shared" si="16"/>
        <v>9475.56</v>
      </c>
    </row>
    <row r="82" spans="3:19" x14ac:dyDescent="0.2">
      <c r="C82" s="611" t="s">
        <v>787</v>
      </c>
      <c r="D82" s="425"/>
      <c r="E82" s="613">
        <f t="shared" si="11"/>
        <v>27129.98</v>
      </c>
      <c r="F82" s="614">
        <f t="shared" si="11"/>
        <v>1224.4000000000001</v>
      </c>
      <c r="G82" s="631">
        <f t="shared" si="13"/>
        <v>28354.38</v>
      </c>
      <c r="H82" s="616">
        <f t="shared" si="12"/>
        <v>35787.360000000001</v>
      </c>
      <c r="I82" s="617">
        <f t="shared" si="12"/>
        <v>1224.4000000000001</v>
      </c>
      <c r="J82" s="618">
        <f t="shared" si="14"/>
        <v>37011.760000000002</v>
      </c>
      <c r="M82" s="678" t="s">
        <v>787</v>
      </c>
      <c r="N82" s="679">
        <v>13564.99</v>
      </c>
      <c r="O82" s="418">
        <v>612.20000000000005</v>
      </c>
      <c r="P82" s="679">
        <f t="shared" si="15"/>
        <v>14177.19</v>
      </c>
      <c r="Q82" s="634">
        <v>17893.68</v>
      </c>
      <c r="R82" s="635">
        <v>612.20000000000005</v>
      </c>
      <c r="S82" s="680">
        <f t="shared" si="16"/>
        <v>18505.88</v>
      </c>
    </row>
    <row r="83" spans="3:19" x14ac:dyDescent="0.2">
      <c r="C83" s="611" t="s">
        <v>788</v>
      </c>
      <c r="D83" s="425"/>
      <c r="E83" s="613">
        <f t="shared" si="11"/>
        <v>18863.599999999999</v>
      </c>
      <c r="F83" s="614">
        <f t="shared" si="11"/>
        <v>1136.4000000000001</v>
      </c>
      <c r="G83" s="631">
        <f t="shared" si="13"/>
        <v>20000</v>
      </c>
      <c r="H83" s="616">
        <f t="shared" si="12"/>
        <v>28863.599999999999</v>
      </c>
      <c r="I83" s="617">
        <f t="shared" si="12"/>
        <v>1136.4000000000001</v>
      </c>
      <c r="J83" s="618">
        <f t="shared" si="14"/>
        <v>30000</v>
      </c>
      <c r="M83" s="678" t="s">
        <v>788</v>
      </c>
      <c r="N83" s="679">
        <v>9431.7999999999993</v>
      </c>
      <c r="O83" s="679">
        <v>568.20000000000005</v>
      </c>
      <c r="P83" s="679">
        <f t="shared" si="15"/>
        <v>10000</v>
      </c>
      <c r="Q83" s="634">
        <v>14431.8</v>
      </c>
      <c r="R83" s="681">
        <v>568.20000000000005</v>
      </c>
      <c r="S83" s="680">
        <f t="shared" si="16"/>
        <v>15000</v>
      </c>
    </row>
    <row r="84" spans="3:19" x14ac:dyDescent="0.2">
      <c r="C84" s="611" t="s">
        <v>789</v>
      </c>
      <c r="D84" s="425"/>
      <c r="E84" s="613">
        <f t="shared" si="11"/>
        <v>39280.26</v>
      </c>
      <c r="F84" s="614">
        <f t="shared" si="11"/>
        <v>1224.4000000000001</v>
      </c>
      <c r="G84" s="631">
        <f t="shared" si="13"/>
        <v>40504.660000000003</v>
      </c>
      <c r="H84" s="616">
        <f t="shared" si="12"/>
        <v>74365.2</v>
      </c>
      <c r="I84" s="617">
        <f t="shared" si="12"/>
        <v>1224.4000000000001</v>
      </c>
      <c r="J84" s="618">
        <f t="shared" si="14"/>
        <v>75589.599999999991</v>
      </c>
      <c r="M84" s="678" t="s">
        <v>789</v>
      </c>
      <c r="N84" s="679">
        <v>19640.13</v>
      </c>
      <c r="O84" s="679">
        <v>612.20000000000005</v>
      </c>
      <c r="P84" s="679">
        <f t="shared" si="15"/>
        <v>20252.330000000002</v>
      </c>
      <c r="Q84" s="634">
        <v>37182.6</v>
      </c>
      <c r="R84" s="681">
        <v>612.20000000000005</v>
      </c>
      <c r="S84" s="680">
        <f t="shared" si="16"/>
        <v>37794.799999999996</v>
      </c>
    </row>
    <row r="85" spans="3:19" x14ac:dyDescent="0.2">
      <c r="C85" s="611" t="s">
        <v>790</v>
      </c>
      <c r="D85" s="425"/>
      <c r="E85" s="613">
        <f t="shared" si="11"/>
        <v>12478.64</v>
      </c>
      <c r="F85" s="614">
        <f t="shared" si="11"/>
        <v>1162.72</v>
      </c>
      <c r="G85" s="631">
        <f t="shared" si="13"/>
        <v>13641.359999999999</v>
      </c>
      <c r="H85" s="616">
        <f t="shared" si="12"/>
        <v>30156.44</v>
      </c>
      <c r="I85" s="617">
        <f t="shared" si="12"/>
        <v>1162.72</v>
      </c>
      <c r="J85" s="618">
        <f t="shared" si="14"/>
        <v>31319.16</v>
      </c>
      <c r="M85" s="678" t="s">
        <v>791</v>
      </c>
      <c r="N85" s="679">
        <v>6239.32</v>
      </c>
      <c r="O85" s="418">
        <v>581.36</v>
      </c>
      <c r="P85" s="679">
        <f t="shared" si="15"/>
        <v>6820.6799999999994</v>
      </c>
      <c r="Q85" s="634">
        <v>15078.22</v>
      </c>
      <c r="R85" s="635">
        <v>581.36</v>
      </c>
      <c r="S85" s="636">
        <f t="shared" si="16"/>
        <v>15659.58</v>
      </c>
    </row>
    <row r="86" spans="3:19" x14ac:dyDescent="0.2">
      <c r="C86" s="630" t="s">
        <v>792</v>
      </c>
      <c r="D86" s="425"/>
      <c r="E86" s="613">
        <f t="shared" si="11"/>
        <v>15384.06</v>
      </c>
      <c r="F86" s="614">
        <f t="shared" si="11"/>
        <v>1162.72</v>
      </c>
      <c r="G86" s="631">
        <f>+E86+F86</f>
        <v>16546.78</v>
      </c>
      <c r="H86" s="616">
        <f t="shared" si="12"/>
        <v>33061.86</v>
      </c>
      <c r="I86" s="617">
        <f t="shared" si="12"/>
        <v>1162.72</v>
      </c>
      <c r="J86" s="618">
        <f>+H86+I86</f>
        <v>34224.58</v>
      </c>
      <c r="M86" s="444" t="s">
        <v>792</v>
      </c>
      <c r="N86" s="679">
        <v>7692.03</v>
      </c>
      <c r="O86" s="418">
        <v>581.36</v>
      </c>
      <c r="P86" s="679">
        <f t="shared" si="15"/>
        <v>8273.39</v>
      </c>
      <c r="Q86" s="634">
        <v>16530.93</v>
      </c>
      <c r="R86" s="635">
        <v>581.36</v>
      </c>
      <c r="S86" s="680">
        <f t="shared" si="16"/>
        <v>17112.29</v>
      </c>
    </row>
    <row r="87" spans="3:19" x14ac:dyDescent="0.2">
      <c r="C87" s="630" t="s">
        <v>793</v>
      </c>
      <c r="D87" s="425"/>
      <c r="E87" s="613">
        <f t="shared" si="11"/>
        <v>15777.66</v>
      </c>
      <c r="F87" s="614">
        <f t="shared" si="11"/>
        <v>1162.72</v>
      </c>
      <c r="G87" s="631">
        <f>+E87+F87</f>
        <v>16940.38</v>
      </c>
      <c r="H87" s="616">
        <f t="shared" si="12"/>
        <v>33455.46</v>
      </c>
      <c r="I87" s="617">
        <f t="shared" si="12"/>
        <v>1162.72</v>
      </c>
      <c r="J87" s="618">
        <f t="shared" si="14"/>
        <v>34618.18</v>
      </c>
      <c r="M87" s="444" t="s">
        <v>793</v>
      </c>
      <c r="N87" s="679">
        <v>7888.83</v>
      </c>
      <c r="O87" s="418">
        <v>581.36</v>
      </c>
      <c r="P87" s="679">
        <f t="shared" si="15"/>
        <v>8470.19</v>
      </c>
      <c r="Q87" s="634">
        <v>16727.73</v>
      </c>
      <c r="R87" s="635">
        <v>581.36</v>
      </c>
      <c r="S87" s="680">
        <f t="shared" si="16"/>
        <v>17309.09</v>
      </c>
    </row>
    <row r="88" spans="3:19" x14ac:dyDescent="0.2">
      <c r="C88" s="630" t="s">
        <v>794</v>
      </c>
      <c r="D88" s="425"/>
      <c r="E88" s="613">
        <f t="shared" si="11"/>
        <v>24895.279999999999</v>
      </c>
      <c r="F88" s="614">
        <f t="shared" si="11"/>
        <v>1162.72</v>
      </c>
      <c r="G88" s="631">
        <f t="shared" si="13"/>
        <v>26058</v>
      </c>
      <c r="H88" s="616">
        <f t="shared" si="12"/>
        <v>42633.08</v>
      </c>
      <c r="I88" s="617">
        <f t="shared" si="12"/>
        <v>1162.72</v>
      </c>
      <c r="J88" s="618">
        <f t="shared" si="14"/>
        <v>43795.8</v>
      </c>
      <c r="M88" s="444" t="s">
        <v>794</v>
      </c>
      <c r="N88" s="679">
        <v>12447.64</v>
      </c>
      <c r="O88" s="418">
        <v>581.36</v>
      </c>
      <c r="P88" s="679">
        <f t="shared" si="15"/>
        <v>13029</v>
      </c>
      <c r="Q88" s="634">
        <v>21316.54</v>
      </c>
      <c r="R88" s="635">
        <v>581.36</v>
      </c>
      <c r="S88" s="680">
        <f t="shared" si="16"/>
        <v>21897.9</v>
      </c>
    </row>
    <row r="89" spans="3:19" x14ac:dyDescent="0.2">
      <c r="C89" s="630" t="s">
        <v>795</v>
      </c>
      <c r="D89" s="425"/>
      <c r="E89" s="613">
        <f t="shared" si="11"/>
        <v>15568.34</v>
      </c>
      <c r="F89" s="614">
        <f t="shared" si="11"/>
        <v>1162.72</v>
      </c>
      <c r="G89" s="631">
        <f t="shared" si="13"/>
        <v>16731.060000000001</v>
      </c>
      <c r="H89" s="616">
        <f t="shared" si="12"/>
        <v>33246.14</v>
      </c>
      <c r="I89" s="617">
        <f t="shared" si="12"/>
        <v>1162.72</v>
      </c>
      <c r="J89" s="618">
        <f t="shared" si="14"/>
        <v>34408.86</v>
      </c>
      <c r="M89" s="444" t="s">
        <v>795</v>
      </c>
      <c r="N89" s="679">
        <v>7784.17</v>
      </c>
      <c r="O89" s="418">
        <v>581.36</v>
      </c>
      <c r="P89" s="679">
        <f t="shared" si="15"/>
        <v>8365.5300000000007</v>
      </c>
      <c r="Q89" s="634">
        <v>16623.07</v>
      </c>
      <c r="R89" s="635">
        <v>581.36</v>
      </c>
      <c r="S89" s="680">
        <f t="shared" si="16"/>
        <v>17204.43</v>
      </c>
    </row>
    <row r="90" spans="3:19" ht="15" x14ac:dyDescent="0.2">
      <c r="C90" s="611" t="s">
        <v>796</v>
      </c>
      <c r="D90" s="425"/>
      <c r="E90" s="613">
        <f t="shared" si="11"/>
        <v>19586.34</v>
      </c>
      <c r="F90" s="614">
        <f t="shared" si="11"/>
        <v>1224.4000000000001</v>
      </c>
      <c r="G90" s="631">
        <f t="shared" si="13"/>
        <v>20810.740000000002</v>
      </c>
      <c r="H90" s="616">
        <f t="shared" si="12"/>
        <v>37285.660000000003</v>
      </c>
      <c r="I90" s="617">
        <f t="shared" si="12"/>
        <v>1224.4000000000001</v>
      </c>
      <c r="J90" s="618">
        <f t="shared" si="14"/>
        <v>38510.060000000005</v>
      </c>
      <c r="M90" s="678" t="s">
        <v>797</v>
      </c>
      <c r="N90" s="679">
        <v>9793.17</v>
      </c>
      <c r="O90" s="679">
        <v>612.20000000000005</v>
      </c>
      <c r="P90" s="679">
        <f t="shared" si="15"/>
        <v>10405.370000000001</v>
      </c>
      <c r="Q90" s="634">
        <v>18642.830000000002</v>
      </c>
      <c r="R90" s="681">
        <v>612.20000000000005</v>
      </c>
      <c r="S90" s="680">
        <f t="shared" si="16"/>
        <v>19255.030000000002</v>
      </c>
    </row>
    <row r="91" spans="3:19" x14ac:dyDescent="0.2">
      <c r="C91" s="611" t="s">
        <v>798</v>
      </c>
      <c r="D91" s="425"/>
      <c r="E91" s="613">
        <f t="shared" si="11"/>
        <v>10226.24</v>
      </c>
      <c r="F91" s="614">
        <f t="shared" si="11"/>
        <v>1162.72</v>
      </c>
      <c r="G91" s="631">
        <f t="shared" si="13"/>
        <v>11388.96</v>
      </c>
      <c r="H91" s="616">
        <f t="shared" si="12"/>
        <v>27904.04</v>
      </c>
      <c r="I91" s="617">
        <f t="shared" si="12"/>
        <v>1162.72</v>
      </c>
      <c r="J91" s="618">
        <f t="shared" si="14"/>
        <v>29066.760000000002</v>
      </c>
      <c r="M91" s="678" t="s">
        <v>798</v>
      </c>
      <c r="N91" s="679">
        <v>5113.12</v>
      </c>
      <c r="O91" s="418">
        <v>581.36</v>
      </c>
      <c r="P91" s="679">
        <f t="shared" si="15"/>
        <v>5694.48</v>
      </c>
      <c r="Q91" s="634">
        <v>13952.02</v>
      </c>
      <c r="R91" s="635">
        <v>581.36</v>
      </c>
      <c r="S91" s="680">
        <f t="shared" si="16"/>
        <v>14533.380000000001</v>
      </c>
    </row>
    <row r="92" spans="3:19" x14ac:dyDescent="0.2">
      <c r="C92" s="611" t="s">
        <v>799</v>
      </c>
      <c r="D92" s="425"/>
      <c r="E92" s="613">
        <f t="shared" si="11"/>
        <v>9345.24</v>
      </c>
      <c r="F92" s="614">
        <f t="shared" si="11"/>
        <v>1162.72</v>
      </c>
      <c r="G92" s="631">
        <f t="shared" si="13"/>
        <v>10507.96</v>
      </c>
      <c r="H92" s="616">
        <f t="shared" si="12"/>
        <v>27023.040000000001</v>
      </c>
      <c r="I92" s="617">
        <f t="shared" si="12"/>
        <v>1162.72</v>
      </c>
      <c r="J92" s="618">
        <f>+H92+I92</f>
        <v>28185.760000000002</v>
      </c>
      <c r="M92" s="678" t="s">
        <v>799</v>
      </c>
      <c r="N92" s="679">
        <v>4672.62</v>
      </c>
      <c r="O92" s="418">
        <v>581.36</v>
      </c>
      <c r="P92" s="679">
        <f t="shared" si="15"/>
        <v>5253.98</v>
      </c>
      <c r="Q92" s="634">
        <v>13511.52</v>
      </c>
      <c r="R92" s="635">
        <v>581.36</v>
      </c>
      <c r="S92" s="680">
        <f t="shared" si="16"/>
        <v>14092.880000000001</v>
      </c>
    </row>
    <row r="93" spans="3:19" x14ac:dyDescent="0.2">
      <c r="C93" s="611" t="s">
        <v>800</v>
      </c>
      <c r="D93" s="425"/>
      <c r="E93" s="613">
        <f t="shared" si="11"/>
        <v>13275.84</v>
      </c>
      <c r="F93" s="614">
        <f t="shared" si="11"/>
        <v>1162.72</v>
      </c>
      <c r="G93" s="631">
        <f t="shared" si="13"/>
        <v>14438.56</v>
      </c>
      <c r="H93" s="616">
        <f t="shared" si="12"/>
        <v>30953.64</v>
      </c>
      <c r="I93" s="617">
        <f t="shared" si="12"/>
        <v>1162.72</v>
      </c>
      <c r="J93" s="618">
        <f>+H93+I93</f>
        <v>32116.36</v>
      </c>
      <c r="M93" s="678" t="s">
        <v>800</v>
      </c>
      <c r="N93" s="679">
        <v>6637.92</v>
      </c>
      <c r="O93" s="418">
        <v>581.36</v>
      </c>
      <c r="P93" s="679">
        <f t="shared" si="15"/>
        <v>7219.28</v>
      </c>
      <c r="Q93" s="634">
        <v>15476.82</v>
      </c>
      <c r="R93" s="635">
        <v>581.36</v>
      </c>
      <c r="S93" s="680">
        <f t="shared" si="16"/>
        <v>16058.18</v>
      </c>
    </row>
    <row r="94" spans="3:19" x14ac:dyDescent="0.2">
      <c r="C94" s="630" t="s">
        <v>801</v>
      </c>
      <c r="D94" s="425"/>
      <c r="E94" s="613">
        <f t="shared" si="11"/>
        <v>12288.64</v>
      </c>
      <c r="F94" s="614">
        <f t="shared" si="11"/>
        <v>1162.72</v>
      </c>
      <c r="G94" s="631">
        <f t="shared" si="13"/>
        <v>13451.359999999999</v>
      </c>
      <c r="H94" s="616">
        <f t="shared" si="12"/>
        <v>29966.44</v>
      </c>
      <c r="I94" s="617">
        <f t="shared" si="12"/>
        <v>1162.72</v>
      </c>
      <c r="J94" s="618">
        <f>+H94+I94</f>
        <v>31129.16</v>
      </c>
      <c r="M94" s="444" t="s">
        <v>801</v>
      </c>
      <c r="N94" s="679">
        <v>6144.32</v>
      </c>
      <c r="O94" s="418">
        <v>581.36</v>
      </c>
      <c r="P94" s="679">
        <f t="shared" si="15"/>
        <v>6725.6799999999994</v>
      </c>
      <c r="Q94" s="634">
        <v>14983.22</v>
      </c>
      <c r="R94" s="635">
        <v>581.36</v>
      </c>
      <c r="S94" s="680">
        <f t="shared" si="16"/>
        <v>15564.58</v>
      </c>
    </row>
    <row r="95" spans="3:19" x14ac:dyDescent="0.2">
      <c r="C95" s="630" t="s">
        <v>802</v>
      </c>
      <c r="D95" s="425"/>
      <c r="E95" s="613">
        <f t="shared" si="11"/>
        <v>19948.8</v>
      </c>
      <c r="F95" s="614">
        <f t="shared" si="11"/>
        <v>1224.4000000000001</v>
      </c>
      <c r="G95" s="631">
        <f t="shared" si="13"/>
        <v>21173.200000000001</v>
      </c>
      <c r="H95" s="616">
        <f t="shared" si="12"/>
        <v>27845.200000000001</v>
      </c>
      <c r="I95" s="617">
        <f t="shared" si="12"/>
        <v>1224.4000000000001</v>
      </c>
      <c r="J95" s="618">
        <f>+H95+I95</f>
        <v>29069.600000000002</v>
      </c>
      <c r="M95" s="444" t="s">
        <v>803</v>
      </c>
      <c r="N95" s="679">
        <v>9974.4</v>
      </c>
      <c r="O95" s="679">
        <v>612.20000000000005</v>
      </c>
      <c r="P95" s="679">
        <f t="shared" si="15"/>
        <v>10586.6</v>
      </c>
      <c r="Q95" s="634">
        <v>13922.6</v>
      </c>
      <c r="R95" s="681">
        <v>612.20000000000005</v>
      </c>
      <c r="S95" s="680">
        <f t="shared" si="16"/>
        <v>14534.800000000001</v>
      </c>
    </row>
    <row r="96" spans="3:19" ht="12.75" customHeight="1" x14ac:dyDescent="0.2">
      <c r="C96" s="682" t="s">
        <v>804</v>
      </c>
      <c r="D96" s="683"/>
      <c r="E96" s="684">
        <f t="shared" si="11"/>
        <v>9626.64</v>
      </c>
      <c r="F96" s="656">
        <f t="shared" si="11"/>
        <v>1162.72</v>
      </c>
      <c r="G96" s="658">
        <f t="shared" si="13"/>
        <v>10789.359999999999</v>
      </c>
      <c r="H96" s="685">
        <f t="shared" si="12"/>
        <v>27304.44</v>
      </c>
      <c r="I96" s="686">
        <f t="shared" si="12"/>
        <v>1162.72</v>
      </c>
      <c r="J96" s="687">
        <f>SUM(H96:I96)</f>
        <v>28467.16</v>
      </c>
      <c r="M96" s="619" t="s">
        <v>804</v>
      </c>
      <c r="N96" s="688">
        <v>4813.32</v>
      </c>
      <c r="O96" s="523">
        <v>581.36</v>
      </c>
      <c r="P96" s="688">
        <f t="shared" si="15"/>
        <v>5394.6799999999994</v>
      </c>
      <c r="Q96" s="622">
        <v>13652.22</v>
      </c>
      <c r="R96" s="623">
        <v>581.36</v>
      </c>
      <c r="S96" s="637">
        <f t="shared" si="16"/>
        <v>14233.58</v>
      </c>
    </row>
    <row r="97" spans="1:19" ht="12.75" customHeight="1" x14ac:dyDescent="0.2">
      <c r="C97" s="689" t="s">
        <v>805</v>
      </c>
      <c r="D97" s="690"/>
      <c r="E97" s="646"/>
      <c r="F97" s="691"/>
      <c r="G97" s="692"/>
      <c r="H97" s="693"/>
      <c r="I97" s="693"/>
      <c r="J97" s="647"/>
      <c r="K97" s="418"/>
    </row>
    <row r="98" spans="1:19" ht="4.5" customHeight="1" x14ac:dyDescent="0.2">
      <c r="D98" s="425"/>
      <c r="E98" s="694"/>
      <c r="F98" s="695"/>
      <c r="G98" s="654"/>
      <c r="H98" s="696"/>
      <c r="I98" s="696"/>
      <c r="J98" s="654"/>
      <c r="K98" s="418"/>
    </row>
    <row r="99" spans="1:19" ht="16.5" thickBot="1" x14ac:dyDescent="0.3">
      <c r="A99" s="576" t="s">
        <v>806</v>
      </c>
      <c r="B99" s="521"/>
      <c r="C99" s="521"/>
      <c r="D99" s="521"/>
      <c r="E99" s="521"/>
      <c r="F99" s="521"/>
      <c r="G99" s="521"/>
      <c r="H99" s="521"/>
      <c r="I99" s="521"/>
      <c r="J99" s="521"/>
      <c r="K99" s="418"/>
      <c r="L99" s="418"/>
    </row>
    <row r="100" spans="1:19" ht="18.75" customHeight="1" x14ac:dyDescent="0.25">
      <c r="A100" s="402" t="s">
        <v>920</v>
      </c>
      <c r="C100" s="593"/>
      <c r="D100" s="402" t="s">
        <v>764</v>
      </c>
      <c r="I100" s="418"/>
    </row>
    <row r="101" spans="1:19" ht="6.95" customHeight="1" x14ac:dyDescent="0.25">
      <c r="A101" s="402"/>
      <c r="C101" s="593"/>
      <c r="D101" s="402"/>
      <c r="I101" s="418"/>
    </row>
    <row r="102" spans="1:19" ht="13.5" thickBot="1" x14ac:dyDescent="0.25">
      <c r="A102" s="523" t="s">
        <v>1</v>
      </c>
      <c r="B102" s="578"/>
      <c r="C102" s="523"/>
      <c r="D102" s="594"/>
      <c r="E102" s="1102" t="s">
        <v>122</v>
      </c>
      <c r="F102" s="1103"/>
      <c r="G102" s="1104"/>
      <c r="H102" s="1105" t="s">
        <v>123</v>
      </c>
      <c r="I102" s="1106"/>
      <c r="J102" s="1107"/>
      <c r="N102" s="1102" t="s">
        <v>122</v>
      </c>
      <c r="O102" s="1103"/>
      <c r="P102" s="1104"/>
      <c r="Q102" s="1105" t="s">
        <v>123</v>
      </c>
      <c r="R102" s="1106"/>
      <c r="S102" s="1107"/>
    </row>
    <row r="103" spans="1:19" ht="13.5" thickTop="1" x14ac:dyDescent="0.2">
      <c r="A103" s="404" t="s">
        <v>200</v>
      </c>
      <c r="E103" s="595" t="s">
        <v>663</v>
      </c>
      <c r="F103" s="595" t="s">
        <v>734</v>
      </c>
      <c r="G103" s="595" t="s">
        <v>751</v>
      </c>
      <c r="H103" s="596" t="s">
        <v>663</v>
      </c>
      <c r="I103" s="596" t="s">
        <v>734</v>
      </c>
      <c r="J103" s="596" t="s">
        <v>751</v>
      </c>
      <c r="N103" s="595" t="s">
        <v>663</v>
      </c>
      <c r="O103" s="595" t="s">
        <v>734</v>
      </c>
      <c r="P103" s="595" t="s">
        <v>751</v>
      </c>
      <c r="Q103" s="596" t="s">
        <v>663</v>
      </c>
      <c r="R103" s="596" t="s">
        <v>734</v>
      </c>
      <c r="S103" s="596" t="s">
        <v>751</v>
      </c>
    </row>
    <row r="104" spans="1:19" x14ac:dyDescent="0.2">
      <c r="A104" s="404"/>
      <c r="C104" s="597" t="s">
        <v>765</v>
      </c>
      <c r="D104" s="453"/>
      <c r="E104" s="697">
        <f t="shared" ref="E104:F106" si="17">N104*2</f>
        <v>7484.36</v>
      </c>
      <c r="F104" s="661">
        <f t="shared" si="17"/>
        <v>1082</v>
      </c>
      <c r="G104" s="698">
        <f>+E104+F104</f>
        <v>8566.36</v>
      </c>
      <c r="H104" s="662">
        <f>Q104*2</f>
        <v>26194.959999999999</v>
      </c>
      <c r="I104" s="663">
        <f>R104*2</f>
        <v>1082</v>
      </c>
      <c r="J104" s="699">
        <f>+H104+I104</f>
        <v>27276.959999999999</v>
      </c>
      <c r="M104" s="604" t="s">
        <v>765</v>
      </c>
      <c r="N104" s="606">
        <v>3742.18</v>
      </c>
      <c r="O104" s="676">
        <v>541</v>
      </c>
      <c r="P104" s="676">
        <f t="shared" ref="P104:P111" si="18">SUM(N104:O104)</f>
        <v>4283.18</v>
      </c>
      <c r="Q104" s="700">
        <v>13097.48</v>
      </c>
      <c r="R104" s="701">
        <f>+O104</f>
        <v>541</v>
      </c>
      <c r="S104" s="610">
        <f t="shared" ref="S104:S112" si="19">SUM(Q104:R104)</f>
        <v>13638.48</v>
      </c>
    </row>
    <row r="105" spans="1:19" x14ac:dyDescent="0.2">
      <c r="A105" s="404"/>
      <c r="C105" s="630" t="s">
        <v>807</v>
      </c>
      <c r="D105" s="612"/>
      <c r="E105" s="614">
        <f t="shared" si="17"/>
        <v>17005.16</v>
      </c>
      <c r="F105" s="614">
        <f t="shared" si="17"/>
        <v>1082</v>
      </c>
      <c r="G105" s="702">
        <f t="shared" ref="G105:G111" si="20">+E105+F105</f>
        <v>18087.16</v>
      </c>
      <c r="H105" s="616">
        <f>Q105*2</f>
        <v>35715.760000000002</v>
      </c>
      <c r="I105" s="617">
        <f t="shared" ref="I105:I112" si="21">F105</f>
        <v>1082</v>
      </c>
      <c r="J105" s="618">
        <f t="shared" ref="J105:J112" si="22">+H105+I105</f>
        <v>36797.760000000002</v>
      </c>
      <c r="M105" s="678" t="s">
        <v>808</v>
      </c>
      <c r="N105" s="418">
        <f>N$104+(10*476.04)</f>
        <v>8502.58</v>
      </c>
      <c r="O105" s="679">
        <v>541</v>
      </c>
      <c r="P105" s="679">
        <f t="shared" si="18"/>
        <v>9043.58</v>
      </c>
      <c r="Q105" s="703">
        <f>Q$104+(10*476.04)</f>
        <v>17857.88</v>
      </c>
      <c r="R105" s="681">
        <f t="shared" ref="R105:R111" si="23">+O105</f>
        <v>541</v>
      </c>
      <c r="S105" s="680">
        <f t="shared" si="19"/>
        <v>18398.88</v>
      </c>
    </row>
    <row r="106" spans="1:19" x14ac:dyDescent="0.2">
      <c r="A106" s="404"/>
      <c r="C106" s="630" t="s">
        <v>809</v>
      </c>
      <c r="D106" s="612"/>
      <c r="E106" s="614">
        <f t="shared" si="17"/>
        <v>8316.76</v>
      </c>
      <c r="F106" s="614">
        <f t="shared" si="17"/>
        <v>1082</v>
      </c>
      <c r="G106" s="702">
        <f t="shared" si="20"/>
        <v>9398.76</v>
      </c>
      <c r="H106" s="616">
        <f>Q106*2</f>
        <v>27027.360000000001</v>
      </c>
      <c r="I106" s="617">
        <f t="shared" si="21"/>
        <v>1082</v>
      </c>
      <c r="J106" s="618">
        <f t="shared" si="22"/>
        <v>28109.360000000001</v>
      </c>
      <c r="M106" s="444" t="s">
        <v>782</v>
      </c>
      <c r="N106" s="418">
        <f>N$104+(10*41.62)</f>
        <v>4158.38</v>
      </c>
      <c r="O106" s="679">
        <v>541</v>
      </c>
      <c r="P106" s="679">
        <f t="shared" si="18"/>
        <v>4699.38</v>
      </c>
      <c r="Q106" s="703">
        <f>Q$104+(10*41.62)</f>
        <v>13513.68</v>
      </c>
      <c r="R106" s="681">
        <f t="shared" si="23"/>
        <v>541</v>
      </c>
      <c r="S106" s="680">
        <f t="shared" si="19"/>
        <v>14054.68</v>
      </c>
    </row>
    <row r="107" spans="1:19" x14ac:dyDescent="0.2">
      <c r="A107" s="404"/>
      <c r="C107" s="630" t="s">
        <v>810</v>
      </c>
      <c r="D107" s="612"/>
      <c r="E107" s="614">
        <f t="shared" ref="E107:F107" si="24">N108*2</f>
        <v>8259.56</v>
      </c>
      <c r="F107" s="614">
        <f t="shared" si="24"/>
        <v>1082</v>
      </c>
      <c r="G107" s="702">
        <f t="shared" si="20"/>
        <v>9341.56</v>
      </c>
      <c r="H107" s="616">
        <f>Q108*2</f>
        <v>26970.16</v>
      </c>
      <c r="I107" s="617">
        <f t="shared" si="21"/>
        <v>1082</v>
      </c>
      <c r="J107" s="618">
        <f t="shared" si="22"/>
        <v>28052.16</v>
      </c>
      <c r="M107" s="444" t="s">
        <v>780</v>
      </c>
      <c r="N107" s="418">
        <f>N$104+(10*70.04)</f>
        <v>4442.58</v>
      </c>
      <c r="O107" s="679">
        <v>541</v>
      </c>
      <c r="P107" s="679">
        <f t="shared" si="18"/>
        <v>4983.58</v>
      </c>
      <c r="Q107" s="703">
        <f>Q$104+(10*70.04)</f>
        <v>13797.88</v>
      </c>
      <c r="R107" s="681">
        <f t="shared" si="23"/>
        <v>541</v>
      </c>
      <c r="S107" s="680">
        <f t="shared" si="19"/>
        <v>14338.88</v>
      </c>
    </row>
    <row r="108" spans="1:19" x14ac:dyDescent="0.2">
      <c r="A108" s="404"/>
      <c r="C108" s="630" t="s">
        <v>811</v>
      </c>
      <c r="D108" s="612"/>
      <c r="E108" s="614">
        <f>N108*2</f>
        <v>8259.56</v>
      </c>
      <c r="F108" s="614">
        <f>O108*2</f>
        <v>1082</v>
      </c>
      <c r="G108" s="702">
        <f t="shared" si="20"/>
        <v>9341.56</v>
      </c>
      <c r="H108" s="616">
        <f>Q108*2</f>
        <v>26970.16</v>
      </c>
      <c r="I108" s="617">
        <f t="shared" si="21"/>
        <v>1082</v>
      </c>
      <c r="J108" s="618">
        <f t="shared" si="22"/>
        <v>28052.16</v>
      </c>
      <c r="M108" s="444" t="s">
        <v>812</v>
      </c>
      <c r="N108" s="418">
        <f>N$104+(10*38.76)</f>
        <v>4129.78</v>
      </c>
      <c r="O108" s="679">
        <v>541</v>
      </c>
      <c r="P108" s="679">
        <f t="shared" si="18"/>
        <v>4670.78</v>
      </c>
      <c r="Q108" s="703">
        <f>Q$104+(10*38.76)</f>
        <v>13485.08</v>
      </c>
      <c r="R108" s="681">
        <f t="shared" si="23"/>
        <v>541</v>
      </c>
      <c r="S108" s="680">
        <f t="shared" si="19"/>
        <v>14026.08</v>
      </c>
    </row>
    <row r="109" spans="1:19" x14ac:dyDescent="0.2">
      <c r="A109" s="404"/>
      <c r="C109" s="630" t="s">
        <v>813</v>
      </c>
      <c r="D109" s="612"/>
      <c r="E109" s="614">
        <f t="shared" ref="E109:J109" si="25">N109*2</f>
        <v>8682.16</v>
      </c>
      <c r="F109" s="614">
        <f t="shared" si="25"/>
        <v>1082</v>
      </c>
      <c r="G109" s="702">
        <f t="shared" si="25"/>
        <v>9764.16</v>
      </c>
      <c r="H109" s="616">
        <f t="shared" si="25"/>
        <v>27392.76</v>
      </c>
      <c r="I109" s="617">
        <f t="shared" si="25"/>
        <v>1082</v>
      </c>
      <c r="J109" s="618">
        <f t="shared" si="25"/>
        <v>28474.76</v>
      </c>
      <c r="M109" s="444" t="s">
        <v>813</v>
      </c>
      <c r="N109" s="418">
        <f>N$104+(10*59.89)</f>
        <v>4341.08</v>
      </c>
      <c r="O109" s="679">
        <v>541</v>
      </c>
      <c r="P109" s="679">
        <f t="shared" si="18"/>
        <v>4882.08</v>
      </c>
      <c r="Q109" s="703">
        <f>Q$104+(10*59.89)</f>
        <v>13696.38</v>
      </c>
      <c r="R109" s="681">
        <f t="shared" si="23"/>
        <v>541</v>
      </c>
      <c r="S109" s="680">
        <f t="shared" si="19"/>
        <v>14237.38</v>
      </c>
    </row>
    <row r="110" spans="1:19" ht="13.5" x14ac:dyDescent="0.25">
      <c r="A110" s="404"/>
      <c r="C110" s="630" t="s">
        <v>814</v>
      </c>
      <c r="D110" s="612"/>
      <c r="E110" s="614">
        <v>21830</v>
      </c>
      <c r="F110" s="614">
        <f>O110*2</f>
        <v>1082</v>
      </c>
      <c r="G110" s="702">
        <f t="shared" ref="G110" si="26">+E110+F110</f>
        <v>22912</v>
      </c>
      <c r="H110" s="616">
        <v>52884</v>
      </c>
      <c r="I110" s="617">
        <f>R110*2</f>
        <v>1082</v>
      </c>
      <c r="J110" s="618">
        <f t="shared" si="22"/>
        <v>53966</v>
      </c>
      <c r="M110" s="444" t="s">
        <v>815</v>
      </c>
      <c r="N110" s="418">
        <v>23358</v>
      </c>
      <c r="O110" s="679">
        <v>541</v>
      </c>
      <c r="P110" s="679">
        <f t="shared" si="18"/>
        <v>23899</v>
      </c>
      <c r="Q110" s="703">
        <v>56588</v>
      </c>
      <c r="R110" s="681">
        <f t="shared" si="23"/>
        <v>541</v>
      </c>
      <c r="S110" s="680">
        <f t="shared" si="19"/>
        <v>57129</v>
      </c>
    </row>
    <row r="111" spans="1:19" ht="13.5" x14ac:dyDescent="0.25">
      <c r="A111" s="404"/>
      <c r="C111" s="630" t="s">
        <v>816</v>
      </c>
      <c r="D111" s="612"/>
      <c r="E111" s="614">
        <f>N111*2</f>
        <v>8324.36</v>
      </c>
      <c r="F111" s="614">
        <f>O111*2</f>
        <v>1082</v>
      </c>
      <c r="G111" s="702">
        <f t="shared" si="20"/>
        <v>9406.36</v>
      </c>
      <c r="H111" s="616">
        <f>Q111*2</f>
        <v>27034.959999999999</v>
      </c>
      <c r="I111" s="617">
        <f>R111*2</f>
        <v>1082</v>
      </c>
      <c r="J111" s="618">
        <f t="shared" si="22"/>
        <v>28116.959999999999</v>
      </c>
      <c r="M111" s="444" t="s">
        <v>817</v>
      </c>
      <c r="N111" s="418">
        <f>N$104+(10*42)</f>
        <v>4162.18</v>
      </c>
      <c r="O111" s="679">
        <v>541</v>
      </c>
      <c r="P111" s="679">
        <f t="shared" si="18"/>
        <v>4703.18</v>
      </c>
      <c r="Q111" s="703">
        <f>Q$104+(10*42)</f>
        <v>13517.48</v>
      </c>
      <c r="R111" s="681">
        <f t="shared" si="23"/>
        <v>541</v>
      </c>
      <c r="S111" s="680">
        <f t="shared" si="19"/>
        <v>14058.48</v>
      </c>
    </row>
    <row r="112" spans="1:19" ht="13.5" x14ac:dyDescent="0.25">
      <c r="A112" s="404"/>
      <c r="C112" s="655" t="s">
        <v>818</v>
      </c>
      <c r="D112" s="683"/>
      <c r="E112" s="684">
        <f>N112*2</f>
        <v>8620</v>
      </c>
      <c r="F112" s="656">
        <f>+O112*2</f>
        <v>0</v>
      </c>
      <c r="G112" s="704">
        <f>+F112+E112</f>
        <v>8620</v>
      </c>
      <c r="H112" s="685">
        <f>Q112*2</f>
        <v>8620</v>
      </c>
      <c r="I112" s="686">
        <f t="shared" si="21"/>
        <v>0</v>
      </c>
      <c r="J112" s="687">
        <f t="shared" si="22"/>
        <v>8620</v>
      </c>
      <c r="M112" s="436" t="s">
        <v>819</v>
      </c>
      <c r="N112" s="523">
        <f>(10*431)</f>
        <v>4310</v>
      </c>
      <c r="O112" s="523">
        <v>0</v>
      </c>
      <c r="P112" s="688">
        <f>+O112+N112</f>
        <v>4310</v>
      </c>
      <c r="Q112" s="705">
        <f>(10*431)</f>
        <v>4310</v>
      </c>
      <c r="R112" s="623">
        <v>0</v>
      </c>
      <c r="S112" s="637">
        <f t="shared" si="19"/>
        <v>4310</v>
      </c>
    </row>
    <row r="113" spans="1:19" ht="4.5" customHeight="1" x14ac:dyDescent="0.2">
      <c r="A113" s="404"/>
      <c r="D113" s="425"/>
      <c r="E113" s="696"/>
      <c r="F113" s="695"/>
      <c r="G113" s="696"/>
      <c r="H113" s="696"/>
      <c r="I113" s="696"/>
      <c r="J113" s="696"/>
      <c r="K113" s="418"/>
      <c r="M113" s="418"/>
      <c r="Q113" s="593"/>
      <c r="R113" s="593"/>
    </row>
    <row r="114" spans="1:19" x14ac:dyDescent="0.2">
      <c r="A114" s="404" t="s">
        <v>199</v>
      </c>
      <c r="D114" s="425"/>
      <c r="E114" s="696"/>
      <c r="F114" s="695"/>
      <c r="G114" s="696"/>
      <c r="H114" s="696"/>
      <c r="I114" s="696"/>
      <c r="J114" s="696"/>
    </row>
    <row r="115" spans="1:19" x14ac:dyDescent="0.2">
      <c r="A115" s="404"/>
      <c r="C115" s="454" t="s">
        <v>820</v>
      </c>
      <c r="D115" s="453"/>
      <c r="E115" s="706">
        <f>N115*2</f>
        <v>6387.2</v>
      </c>
      <c r="F115" s="707">
        <f>O115*2</f>
        <v>896.26</v>
      </c>
      <c r="G115" s="708">
        <f>+E115+F115</f>
        <v>7283.46</v>
      </c>
      <c r="H115" s="709">
        <f>Q115*2</f>
        <v>16269.9</v>
      </c>
      <c r="I115" s="710">
        <f>R115*2</f>
        <v>896.26</v>
      </c>
      <c r="J115" s="711">
        <f>+H115+I115</f>
        <v>17166.16</v>
      </c>
      <c r="M115" s="604" t="s">
        <v>821</v>
      </c>
      <c r="N115" s="606">
        <v>3193.6</v>
      </c>
      <c r="O115" s="606">
        <v>448.13</v>
      </c>
      <c r="P115" s="606">
        <f t="shared" ref="P115" si="27">SUM(N115:O115)</f>
        <v>3641.73</v>
      </c>
      <c r="Q115" s="700">
        <v>8134.95</v>
      </c>
      <c r="R115" s="609">
        <v>448.13</v>
      </c>
      <c r="S115" s="610">
        <f t="shared" ref="S115" si="28">SUM(Q115:R115)</f>
        <v>8583.08</v>
      </c>
    </row>
    <row r="116" spans="1:19" ht="12.75" customHeight="1" x14ac:dyDescent="0.2">
      <c r="C116" s="1072" t="s">
        <v>822</v>
      </c>
      <c r="D116" s="1073"/>
      <c r="E116" s="1086">
        <f>N117*2</f>
        <v>7627</v>
      </c>
      <c r="F116" s="1076">
        <f>O117*2</f>
        <v>896.26</v>
      </c>
      <c r="G116" s="1078">
        <f>E116+F116</f>
        <v>8523.26</v>
      </c>
      <c r="H116" s="1091">
        <f>Q117*2</f>
        <v>17509.7</v>
      </c>
      <c r="I116" s="1080">
        <f>R117*2</f>
        <v>896.26</v>
      </c>
      <c r="J116" s="1069">
        <f>H116+I116</f>
        <v>18405.96</v>
      </c>
      <c r="M116" s="1100" t="s">
        <v>822</v>
      </c>
      <c r="N116" s="418"/>
      <c r="O116" s="418"/>
      <c r="P116" s="418"/>
      <c r="Q116" s="703"/>
      <c r="R116" s="635"/>
      <c r="S116" s="680"/>
    </row>
    <row r="117" spans="1:19" x14ac:dyDescent="0.2">
      <c r="C117" s="1084"/>
      <c r="D117" s="1085"/>
      <c r="E117" s="1087"/>
      <c r="F117" s="1089"/>
      <c r="G117" s="1090"/>
      <c r="H117" s="1092"/>
      <c r="I117" s="1101"/>
      <c r="J117" s="1095"/>
      <c r="M117" s="1100"/>
      <c r="N117" s="418">
        <v>3813.5</v>
      </c>
      <c r="O117" s="418">
        <v>448.13</v>
      </c>
      <c r="P117" s="418">
        <f t="shared" ref="P117" si="29">SUM(N117:O117)</f>
        <v>4261.63</v>
      </c>
      <c r="Q117" s="703">
        <v>8754.85</v>
      </c>
      <c r="R117" s="635">
        <v>448.13</v>
      </c>
      <c r="S117" s="680">
        <f t="shared" ref="S117" si="30">SUM(Q117:R117)</f>
        <v>9202.98</v>
      </c>
    </row>
    <row r="118" spans="1:19" x14ac:dyDescent="0.2">
      <c r="C118" s="1084"/>
      <c r="D118" s="1085"/>
      <c r="E118" s="1087"/>
      <c r="F118" s="1089"/>
      <c r="G118" s="1090"/>
      <c r="H118" s="1092"/>
      <c r="I118" s="1101"/>
      <c r="J118" s="1095"/>
      <c r="M118" s="1100"/>
      <c r="N118" s="418"/>
      <c r="O118" s="418"/>
      <c r="P118" s="418"/>
      <c r="Q118" s="703"/>
      <c r="R118" s="635"/>
      <c r="S118" s="680"/>
    </row>
    <row r="119" spans="1:19" x14ac:dyDescent="0.2">
      <c r="C119" s="1074"/>
      <c r="D119" s="1075"/>
      <c r="E119" s="1088"/>
      <c r="F119" s="1077"/>
      <c r="G119" s="1079"/>
      <c r="H119" s="1093"/>
      <c r="I119" s="1081"/>
      <c r="J119" s="1070"/>
      <c r="M119" s="1100"/>
      <c r="N119" s="418"/>
      <c r="O119" s="418"/>
      <c r="P119" s="418"/>
      <c r="Q119" s="703"/>
      <c r="R119" s="635"/>
      <c r="S119" s="680"/>
    </row>
    <row r="120" spans="1:19" x14ac:dyDescent="0.2">
      <c r="C120" s="689" t="s">
        <v>823</v>
      </c>
      <c r="D120" s="509"/>
      <c r="E120" s="613">
        <f>N120*2</f>
        <v>8234.2000000000007</v>
      </c>
      <c r="F120" s="614">
        <f>O120*2</f>
        <v>896.26</v>
      </c>
      <c r="G120" s="631">
        <f>E120+F120</f>
        <v>9130.4600000000009</v>
      </c>
      <c r="H120" s="616">
        <f>Q120*2</f>
        <v>18116.900000000001</v>
      </c>
      <c r="I120" s="617">
        <f>R120*2</f>
        <v>896.26</v>
      </c>
      <c r="J120" s="618">
        <f>+H120+I120</f>
        <v>19013.16</v>
      </c>
      <c r="M120" s="678" t="s">
        <v>823</v>
      </c>
      <c r="N120" s="418">
        <v>4117.1000000000004</v>
      </c>
      <c r="O120" s="418">
        <v>448.13</v>
      </c>
      <c r="P120" s="418">
        <f t="shared" ref="P120:P121" si="31">SUM(N120:O120)</f>
        <v>4565.2300000000005</v>
      </c>
      <c r="Q120" s="703">
        <v>9058.4500000000007</v>
      </c>
      <c r="R120" s="635">
        <v>448.13</v>
      </c>
      <c r="S120" s="680">
        <f t="shared" ref="S120:S121" si="32">SUM(Q120:R120)</f>
        <v>9506.58</v>
      </c>
    </row>
    <row r="121" spans="1:19" x14ac:dyDescent="0.2">
      <c r="C121" s="1096" t="s">
        <v>824</v>
      </c>
      <c r="D121" s="1097"/>
      <c r="E121" s="1086">
        <f>N121*2</f>
        <v>9660.6</v>
      </c>
      <c r="F121" s="1076">
        <f>O121*2</f>
        <v>896.26</v>
      </c>
      <c r="G121" s="1078">
        <f>E121+F121</f>
        <v>10556.86</v>
      </c>
      <c r="H121" s="1091">
        <f>Q121*2</f>
        <v>19543.3</v>
      </c>
      <c r="I121" s="1080">
        <f>R121*2</f>
        <v>896.26</v>
      </c>
      <c r="J121" s="1069">
        <f>H121+I121</f>
        <v>20439.559999999998</v>
      </c>
      <c r="M121" s="678" t="s">
        <v>825</v>
      </c>
      <c r="N121" s="418">
        <v>4830.3</v>
      </c>
      <c r="O121" s="418">
        <v>448.13</v>
      </c>
      <c r="P121" s="418">
        <f t="shared" si="31"/>
        <v>5278.43</v>
      </c>
      <c r="Q121" s="703">
        <v>9771.65</v>
      </c>
      <c r="R121" s="635">
        <v>448.13</v>
      </c>
      <c r="S121" s="680">
        <f t="shared" si="32"/>
        <v>10219.779999999999</v>
      </c>
    </row>
    <row r="122" spans="1:19" x14ac:dyDescent="0.2">
      <c r="C122" s="1098"/>
      <c r="D122" s="1099"/>
      <c r="E122" s="1088"/>
      <c r="F122" s="1077"/>
      <c r="G122" s="1079"/>
      <c r="H122" s="1093"/>
      <c r="I122" s="1081"/>
      <c r="J122" s="1070"/>
      <c r="M122" s="678"/>
      <c r="N122" s="418"/>
      <c r="O122" s="418"/>
      <c r="P122" s="418"/>
      <c r="Q122" s="703"/>
      <c r="R122" s="635"/>
      <c r="S122" s="680"/>
    </row>
    <row r="123" spans="1:19" ht="6.6" customHeight="1" x14ac:dyDescent="0.2">
      <c r="A123" s="404"/>
      <c r="D123" s="425"/>
      <c r="E123" s="696"/>
      <c r="F123" s="695"/>
      <c r="G123" s="696"/>
      <c r="H123" s="696"/>
      <c r="I123" s="696"/>
      <c r="J123" s="696"/>
      <c r="K123" s="418"/>
      <c r="M123" s="619"/>
      <c r="N123" s="523"/>
      <c r="O123" s="523"/>
      <c r="P123" s="523"/>
      <c r="Q123" s="705"/>
      <c r="R123" s="623"/>
      <c r="S123" s="637"/>
    </row>
    <row r="124" spans="1:19" x14ac:dyDescent="0.2">
      <c r="A124" s="404" t="s">
        <v>198</v>
      </c>
      <c r="D124" s="425"/>
      <c r="E124" s="696"/>
      <c r="F124" s="695"/>
      <c r="G124" s="696"/>
      <c r="H124" s="696"/>
      <c r="I124" s="696"/>
      <c r="J124" s="696"/>
    </row>
    <row r="125" spans="1:19" x14ac:dyDescent="0.2">
      <c r="C125" s="454" t="s">
        <v>782</v>
      </c>
      <c r="D125" s="453"/>
      <c r="E125" s="660">
        <f>N125*2</f>
        <v>6110</v>
      </c>
      <c r="F125" s="661">
        <f>O125*2</f>
        <v>763.5</v>
      </c>
      <c r="G125" s="698">
        <f>+E125+F125</f>
        <v>6873.5</v>
      </c>
      <c r="H125" s="662">
        <f>Q125*2</f>
        <v>20164</v>
      </c>
      <c r="I125" s="663">
        <f>R125*2</f>
        <v>763.5</v>
      </c>
      <c r="J125" s="699">
        <f>+H125+I125</f>
        <v>20927.5</v>
      </c>
      <c r="M125" s="432" t="s">
        <v>782</v>
      </c>
      <c r="N125" s="606">
        <v>3055</v>
      </c>
      <c r="O125" s="606">
        <v>381.75</v>
      </c>
      <c r="P125" s="606">
        <f>SUM(N125:O125)</f>
        <v>3436.75</v>
      </c>
      <c r="Q125" s="700">
        <v>10082</v>
      </c>
      <c r="R125" s="609">
        <v>381.75</v>
      </c>
      <c r="S125" s="610">
        <f>SUM(Q125:R125)</f>
        <v>10463.75</v>
      </c>
    </row>
    <row r="126" spans="1:19" x14ac:dyDescent="0.2">
      <c r="C126" s="1096" t="s">
        <v>826</v>
      </c>
      <c r="D126" s="1097"/>
      <c r="E126" s="1086">
        <f>N126*2</f>
        <v>9212</v>
      </c>
      <c r="F126" s="1076">
        <f>O126*2</f>
        <v>763.5</v>
      </c>
      <c r="G126" s="1078">
        <f>+E126+F126</f>
        <v>9975.5</v>
      </c>
      <c r="H126" s="1091">
        <f>Q126*2</f>
        <v>26476</v>
      </c>
      <c r="I126" s="1080">
        <f>F126</f>
        <v>763.5</v>
      </c>
      <c r="J126" s="1069">
        <f>+H126+I126</f>
        <v>27239.5</v>
      </c>
      <c r="M126" s="444" t="s">
        <v>827</v>
      </c>
      <c r="N126" s="418">
        <v>4606</v>
      </c>
      <c r="O126" s="418">
        <v>381.75</v>
      </c>
      <c r="P126" s="418">
        <f t="shared" ref="P126" si="33">SUM(N126:O126)</f>
        <v>4987.75</v>
      </c>
      <c r="Q126" s="703">
        <v>13238</v>
      </c>
      <c r="R126" s="635">
        <v>381.75</v>
      </c>
      <c r="S126" s="680">
        <f t="shared" ref="S126" si="34">SUM(Q126:R126)</f>
        <v>13619.75</v>
      </c>
    </row>
    <row r="127" spans="1:19" x14ac:dyDescent="0.2">
      <c r="C127" s="1098"/>
      <c r="D127" s="1099"/>
      <c r="E127" s="1088"/>
      <c r="F127" s="1077"/>
      <c r="G127" s="1079"/>
      <c r="H127" s="1093"/>
      <c r="I127" s="1081"/>
      <c r="J127" s="1070"/>
      <c r="M127" s="678"/>
      <c r="N127" s="418"/>
      <c r="O127" s="418"/>
      <c r="P127" s="418"/>
      <c r="Q127" s="703"/>
      <c r="R127" s="635"/>
      <c r="S127" s="680"/>
    </row>
    <row r="128" spans="1:19" ht="12.75" customHeight="1" x14ac:dyDescent="0.2">
      <c r="C128" s="1072" t="s">
        <v>828</v>
      </c>
      <c r="D128" s="1073"/>
      <c r="E128" s="1086">
        <f>N129*2</f>
        <v>8018</v>
      </c>
      <c r="F128" s="1076">
        <f>O129*2</f>
        <v>763.5</v>
      </c>
      <c r="G128" s="1078">
        <f>+E128+F128</f>
        <v>8781.5</v>
      </c>
      <c r="H128" s="1091">
        <f>Q129*2</f>
        <v>25976</v>
      </c>
      <c r="I128" s="1082">
        <f>+F128</f>
        <v>763.5</v>
      </c>
      <c r="J128" s="1069">
        <f>+H128+I128</f>
        <v>26739.5</v>
      </c>
      <c r="M128" s="444"/>
      <c r="N128" s="418"/>
      <c r="O128" s="418"/>
      <c r="P128" s="418"/>
      <c r="Q128" s="703"/>
      <c r="R128" s="635"/>
      <c r="S128" s="680"/>
    </row>
    <row r="129" spans="1:19" x14ac:dyDescent="0.2">
      <c r="C129" s="1084"/>
      <c r="D129" s="1085"/>
      <c r="E129" s="1087"/>
      <c r="F129" s="1089"/>
      <c r="G129" s="1090"/>
      <c r="H129" s="1092"/>
      <c r="I129" s="1094"/>
      <c r="J129" s="1095"/>
      <c r="M129" s="444" t="s">
        <v>829</v>
      </c>
      <c r="N129" s="418">
        <v>4009</v>
      </c>
      <c r="O129" s="418">
        <v>381.75</v>
      </c>
      <c r="P129" s="418">
        <f>SUM(N129:O129)</f>
        <v>4390.75</v>
      </c>
      <c r="Q129" s="703">
        <v>12988</v>
      </c>
      <c r="R129" s="635">
        <v>381.75</v>
      </c>
      <c r="S129" s="680">
        <f>SUM(Q129:R129)</f>
        <v>13369.75</v>
      </c>
    </row>
    <row r="130" spans="1:19" x14ac:dyDescent="0.2">
      <c r="C130" s="1074"/>
      <c r="D130" s="1075"/>
      <c r="E130" s="1088"/>
      <c r="F130" s="1077"/>
      <c r="G130" s="1079"/>
      <c r="H130" s="1093"/>
      <c r="I130" s="1083"/>
      <c r="J130" s="1070"/>
      <c r="M130" s="444"/>
      <c r="N130" s="418"/>
      <c r="O130" s="418"/>
      <c r="P130" s="418"/>
      <c r="Q130" s="703"/>
      <c r="R130" s="635"/>
      <c r="S130" s="680"/>
    </row>
    <row r="131" spans="1:19" ht="15" customHeight="1" x14ac:dyDescent="0.2">
      <c r="C131" s="1072" t="s">
        <v>830</v>
      </c>
      <c r="D131" s="1073"/>
      <c r="E131" s="1076">
        <f>N131*2</f>
        <v>6954</v>
      </c>
      <c r="F131" s="1076">
        <f>O131*2</f>
        <v>763.5</v>
      </c>
      <c r="G131" s="1078">
        <f>+E131+F131</f>
        <v>7717.5</v>
      </c>
      <c r="H131" s="1080">
        <f>Q131*2</f>
        <v>22518</v>
      </c>
      <c r="I131" s="1082">
        <f>+F131</f>
        <v>763.5</v>
      </c>
      <c r="J131" s="1069">
        <f>+H131+I131</f>
        <v>23281.5</v>
      </c>
      <c r="K131" s="425"/>
      <c r="M131" s="436" t="s">
        <v>831</v>
      </c>
      <c r="N131" s="523">
        <v>3477</v>
      </c>
      <c r="O131" s="523">
        <v>381.75</v>
      </c>
      <c r="P131" s="523">
        <f>SUM(N131:O131)</f>
        <v>3858.75</v>
      </c>
      <c r="Q131" s="705">
        <v>11259</v>
      </c>
      <c r="R131" s="623">
        <v>381.75</v>
      </c>
      <c r="S131" s="637">
        <f>SUM(Q131:R131)</f>
        <v>11640.75</v>
      </c>
    </row>
    <row r="132" spans="1:19" ht="15" customHeight="1" x14ac:dyDescent="0.2">
      <c r="C132" s="1074"/>
      <c r="D132" s="1075"/>
      <c r="E132" s="1077"/>
      <c r="F132" s="1077"/>
      <c r="G132" s="1079"/>
      <c r="H132" s="1081"/>
      <c r="I132" s="1083"/>
      <c r="J132" s="1070"/>
      <c r="K132" s="425"/>
      <c r="M132" s="425"/>
      <c r="N132" s="418"/>
      <c r="O132" s="418"/>
      <c r="P132" s="418"/>
      <c r="Q132" s="635"/>
      <c r="R132" s="635"/>
      <c r="S132" s="635"/>
    </row>
    <row r="133" spans="1:19" ht="3.95" customHeight="1" x14ac:dyDescent="0.2">
      <c r="A133" s="404"/>
      <c r="D133" s="425"/>
      <c r="E133" s="712"/>
      <c r="F133" s="713"/>
      <c r="G133" s="712"/>
      <c r="H133" s="712"/>
      <c r="I133" s="712"/>
      <c r="J133" s="712"/>
      <c r="K133" s="425"/>
      <c r="N133" s="593"/>
      <c r="O133" s="593"/>
      <c r="Q133" s="593"/>
      <c r="R133" s="593"/>
    </row>
    <row r="134" spans="1:19" x14ac:dyDescent="0.2">
      <c r="A134" s="404" t="s">
        <v>196</v>
      </c>
      <c r="D134" s="425"/>
      <c r="E134" s="712"/>
      <c r="F134" s="713"/>
      <c r="G134" s="712"/>
      <c r="H134" s="712"/>
      <c r="I134" s="712"/>
      <c r="J134" s="712"/>
    </row>
    <row r="135" spans="1:19" x14ac:dyDescent="0.2">
      <c r="C135" s="638" t="s">
        <v>766</v>
      </c>
      <c r="D135" s="690"/>
      <c r="E135" s="714">
        <f t="shared" ref="E135:F135" si="35">N135*2</f>
        <v>8000</v>
      </c>
      <c r="F135" s="715">
        <f t="shared" si="35"/>
        <v>662.72</v>
      </c>
      <c r="G135" s="716">
        <f>+E135+F135</f>
        <v>8662.7199999999993</v>
      </c>
      <c r="H135" s="717">
        <f>Q135*2</f>
        <v>20000</v>
      </c>
      <c r="I135" s="718">
        <f>R135*2</f>
        <v>662.72</v>
      </c>
      <c r="J135" s="719">
        <f>+H135+I135</f>
        <v>20662.72</v>
      </c>
      <c r="M135" s="439" t="s">
        <v>766</v>
      </c>
      <c r="N135" s="720">
        <v>4000</v>
      </c>
      <c r="O135" s="720">
        <v>331.36</v>
      </c>
      <c r="P135" s="720">
        <f>SUM(N135:O135)</f>
        <v>4331.3599999999997</v>
      </c>
      <c r="Q135" s="721">
        <v>10000</v>
      </c>
      <c r="R135" s="722">
        <v>331.36</v>
      </c>
      <c r="S135" s="723">
        <f t="shared" ref="S135" si="36">SUM(Q135:R135)</f>
        <v>10331.36</v>
      </c>
    </row>
    <row r="136" spans="1:19" ht="3.95" customHeight="1" x14ac:dyDescent="0.2">
      <c r="C136" s="425"/>
      <c r="D136" s="425"/>
      <c r="E136" s="614"/>
      <c r="F136" s="614"/>
      <c r="G136" s="614"/>
      <c r="H136" s="629"/>
      <c r="I136" s="629"/>
      <c r="J136" s="629"/>
      <c r="M136" s="425"/>
      <c r="N136" s="418"/>
      <c r="O136" s="418"/>
      <c r="P136" s="418"/>
      <c r="Q136" s="635"/>
      <c r="R136" s="635"/>
      <c r="S136" s="635"/>
    </row>
    <row r="137" spans="1:19" x14ac:dyDescent="0.2">
      <c r="A137" s="404" t="s">
        <v>195</v>
      </c>
      <c r="D137" s="425"/>
      <c r="E137" s="712"/>
      <c r="F137" s="713"/>
      <c r="G137" s="712"/>
      <c r="H137" s="712"/>
      <c r="I137" s="712"/>
      <c r="J137" s="712"/>
    </row>
    <row r="138" spans="1:19" x14ac:dyDescent="0.2">
      <c r="C138" s="454" t="s">
        <v>832</v>
      </c>
      <c r="D138" s="452"/>
      <c r="E138" s="660">
        <f t="shared" ref="E138:F143" si="37">N138*2</f>
        <v>5660</v>
      </c>
      <c r="F138" s="661">
        <f t="shared" si="37"/>
        <v>700</v>
      </c>
      <c r="G138" s="697">
        <f>+E138+F138</f>
        <v>6360</v>
      </c>
      <c r="H138" s="662">
        <f>Q138*2</f>
        <v>17260</v>
      </c>
      <c r="I138" s="663">
        <f>R138*2</f>
        <v>700</v>
      </c>
      <c r="J138" s="699">
        <f>+H138+I138</f>
        <v>17960</v>
      </c>
      <c r="M138" s="432" t="s">
        <v>832</v>
      </c>
      <c r="N138" s="606">
        <v>2830</v>
      </c>
      <c r="O138" s="606">
        <v>350</v>
      </c>
      <c r="P138" s="606">
        <f>SUM(N138:O138)</f>
        <v>3180</v>
      </c>
      <c r="Q138" s="700">
        <v>8630</v>
      </c>
      <c r="R138" s="609">
        <v>350</v>
      </c>
      <c r="S138" s="610">
        <f t="shared" ref="S138:S143" si="38">SUM(Q138:R138)</f>
        <v>8980</v>
      </c>
    </row>
    <row r="139" spans="1:19" ht="12.6" customHeight="1" x14ac:dyDescent="0.2">
      <c r="C139" s="630" t="s">
        <v>770</v>
      </c>
      <c r="D139" s="425"/>
      <c r="E139" s="613">
        <f t="shared" si="37"/>
        <v>12240</v>
      </c>
      <c r="F139" s="614">
        <f t="shared" si="37"/>
        <v>700</v>
      </c>
      <c r="G139" s="614">
        <f>+E139+F139</f>
        <v>12940</v>
      </c>
      <c r="H139" s="616">
        <f>Q139*2</f>
        <v>26560</v>
      </c>
      <c r="I139" s="617">
        <f>F139</f>
        <v>700</v>
      </c>
      <c r="J139" s="618">
        <f>+H139+I139</f>
        <v>27260</v>
      </c>
      <c r="M139" s="444" t="s">
        <v>770</v>
      </c>
      <c r="N139" s="418">
        <v>6120</v>
      </c>
      <c r="O139" s="418">
        <v>350</v>
      </c>
      <c r="P139" s="418">
        <f>SUM(N139:O139)</f>
        <v>6470</v>
      </c>
      <c r="Q139" s="703">
        <v>13280</v>
      </c>
      <c r="R139" s="635">
        <v>350</v>
      </c>
      <c r="S139" s="680">
        <f t="shared" si="38"/>
        <v>13630</v>
      </c>
    </row>
    <row r="140" spans="1:19" ht="12.6" customHeight="1" x14ac:dyDescent="0.2">
      <c r="C140" s="630" t="s">
        <v>766</v>
      </c>
      <c r="D140" s="425"/>
      <c r="E140" s="613">
        <f t="shared" si="37"/>
        <v>10020</v>
      </c>
      <c r="F140" s="614">
        <f t="shared" si="37"/>
        <v>700</v>
      </c>
      <c r="G140" s="614">
        <f t="shared" ref="G140:G143" si="39">+E140+F140</f>
        <v>10720</v>
      </c>
      <c r="H140" s="616">
        <f>Q140*2</f>
        <v>24340</v>
      </c>
      <c r="I140" s="617">
        <f t="shared" ref="I140:I143" si="40">F140</f>
        <v>700</v>
      </c>
      <c r="J140" s="618">
        <f t="shared" ref="J140:J143" si="41">+H140+I140</f>
        <v>25040</v>
      </c>
      <c r="M140" s="444" t="s">
        <v>766</v>
      </c>
      <c r="N140" s="418">
        <v>5010</v>
      </c>
      <c r="O140" s="418">
        <v>350</v>
      </c>
      <c r="P140" s="418">
        <f t="shared" ref="P140:P143" si="42">SUM(N140:O140)</f>
        <v>5360</v>
      </c>
      <c r="Q140" s="703">
        <v>12170</v>
      </c>
      <c r="R140" s="635">
        <v>350</v>
      </c>
      <c r="S140" s="680">
        <f t="shared" si="38"/>
        <v>12520</v>
      </c>
    </row>
    <row r="141" spans="1:19" ht="12.6" customHeight="1" x14ac:dyDescent="0.2">
      <c r="C141" s="630" t="s">
        <v>804</v>
      </c>
      <c r="D141" s="425"/>
      <c r="E141" s="613">
        <f t="shared" si="37"/>
        <v>7100</v>
      </c>
      <c r="F141" s="614">
        <f t="shared" si="37"/>
        <v>700</v>
      </c>
      <c r="G141" s="614">
        <f t="shared" si="39"/>
        <v>7800</v>
      </c>
      <c r="H141" s="616">
        <f>Q141*2</f>
        <v>18700</v>
      </c>
      <c r="I141" s="617">
        <f t="shared" si="40"/>
        <v>700</v>
      </c>
      <c r="J141" s="618">
        <f t="shared" si="41"/>
        <v>19400</v>
      </c>
      <c r="M141" s="444" t="s">
        <v>804</v>
      </c>
      <c r="N141" s="418">
        <v>3550</v>
      </c>
      <c r="O141" s="418">
        <v>350</v>
      </c>
      <c r="P141" s="418">
        <f t="shared" si="42"/>
        <v>3900</v>
      </c>
      <c r="Q141" s="703">
        <v>9350</v>
      </c>
      <c r="R141" s="635">
        <v>350</v>
      </c>
      <c r="S141" s="680">
        <f t="shared" si="38"/>
        <v>9700</v>
      </c>
    </row>
    <row r="142" spans="1:19" ht="12.6" customHeight="1" x14ac:dyDescent="0.2">
      <c r="C142" s="630" t="s">
        <v>833</v>
      </c>
      <c r="D142" s="425"/>
      <c r="E142" s="613">
        <f t="shared" si="37"/>
        <v>7600</v>
      </c>
      <c r="F142" s="614">
        <f t="shared" si="37"/>
        <v>700</v>
      </c>
      <c r="G142" s="614">
        <f t="shared" si="39"/>
        <v>8300</v>
      </c>
      <c r="H142" s="616">
        <f>Q142*2</f>
        <v>19200</v>
      </c>
      <c r="I142" s="617">
        <f t="shared" si="40"/>
        <v>700</v>
      </c>
      <c r="J142" s="618">
        <f t="shared" si="41"/>
        <v>19900</v>
      </c>
      <c r="M142" s="444" t="s">
        <v>833</v>
      </c>
      <c r="N142" s="418">
        <v>3800</v>
      </c>
      <c r="O142" s="418">
        <v>350</v>
      </c>
      <c r="P142" s="418">
        <f t="shared" si="42"/>
        <v>4150</v>
      </c>
      <c r="Q142" s="703">
        <v>9600</v>
      </c>
      <c r="R142" s="635">
        <v>350</v>
      </c>
      <c r="S142" s="680">
        <f t="shared" si="38"/>
        <v>9950</v>
      </c>
    </row>
    <row r="143" spans="1:19" ht="12.6" customHeight="1" x14ac:dyDescent="0.2">
      <c r="C143" s="655" t="s">
        <v>834</v>
      </c>
      <c r="D143" s="509"/>
      <c r="E143" s="684">
        <f t="shared" si="37"/>
        <v>8120</v>
      </c>
      <c r="F143" s="656">
        <f t="shared" si="37"/>
        <v>700</v>
      </c>
      <c r="G143" s="656">
        <f t="shared" si="39"/>
        <v>8820</v>
      </c>
      <c r="H143" s="685">
        <f>Q143*2</f>
        <v>19720</v>
      </c>
      <c r="I143" s="686">
        <f t="shared" si="40"/>
        <v>700</v>
      </c>
      <c r="J143" s="687">
        <f t="shared" si="41"/>
        <v>20420</v>
      </c>
      <c r="M143" s="436" t="s">
        <v>834</v>
      </c>
      <c r="N143" s="523">
        <v>4060</v>
      </c>
      <c r="O143" s="523">
        <v>350</v>
      </c>
      <c r="P143" s="523">
        <f t="shared" si="42"/>
        <v>4410</v>
      </c>
      <c r="Q143" s="705">
        <v>9860</v>
      </c>
      <c r="R143" s="623">
        <v>350</v>
      </c>
      <c r="S143" s="637">
        <f t="shared" si="38"/>
        <v>10210</v>
      </c>
    </row>
    <row r="144" spans="1:19" ht="3.95" customHeight="1" x14ac:dyDescent="0.2">
      <c r="E144" s="418"/>
      <c r="F144" s="418"/>
      <c r="G144" s="694"/>
      <c r="H144" s="418"/>
      <c r="I144" s="418"/>
      <c r="J144" s="418"/>
      <c r="K144" s="418"/>
      <c r="L144" s="418"/>
    </row>
    <row r="145" spans="1:10" x14ac:dyDescent="0.2">
      <c r="A145" s="418" t="s">
        <v>681</v>
      </c>
      <c r="B145" s="418"/>
      <c r="C145" s="418"/>
      <c r="D145" s="418"/>
      <c r="E145" s="418"/>
      <c r="F145" s="418"/>
      <c r="G145" s="418"/>
      <c r="H145" s="418"/>
      <c r="I145" s="418"/>
      <c r="J145" s="418"/>
    </row>
    <row r="146" spans="1:10" ht="15" x14ac:dyDescent="0.2">
      <c r="A146" s="425" t="s">
        <v>835</v>
      </c>
      <c r="B146" s="418"/>
      <c r="C146" s="418"/>
      <c r="D146" s="418"/>
      <c r="E146" s="418"/>
      <c r="F146" s="418"/>
      <c r="G146" s="418"/>
      <c r="H146" s="418"/>
      <c r="I146" s="418"/>
      <c r="J146" s="418"/>
    </row>
    <row r="147" spans="1:10" ht="15" customHeight="1" x14ac:dyDescent="0.2">
      <c r="A147" s="1071" t="s">
        <v>836</v>
      </c>
      <c r="B147" s="1071"/>
      <c r="C147" s="1071"/>
      <c r="D147" s="1071"/>
      <c r="E147" s="1071"/>
      <c r="F147" s="1071"/>
      <c r="G147" s="1071"/>
      <c r="H147" s="1071"/>
      <c r="I147" s="1071"/>
      <c r="J147" s="1071"/>
    </row>
    <row r="148" spans="1:10" x14ac:dyDescent="0.2">
      <c r="A148" s="1071"/>
      <c r="B148" s="1071"/>
      <c r="C148" s="1071"/>
      <c r="D148" s="1071"/>
      <c r="E148" s="1071"/>
      <c r="F148" s="1071"/>
      <c r="G148" s="1071"/>
      <c r="H148" s="1071"/>
      <c r="I148" s="1071"/>
      <c r="J148" s="1071"/>
    </row>
    <row r="149" spans="1:10" x14ac:dyDescent="0.2">
      <c r="A149" s="425"/>
    </row>
  </sheetData>
  <mergeCells count="57">
    <mergeCell ref="S57:S58"/>
    <mergeCell ref="E34:G34"/>
    <mergeCell ref="H34:J34"/>
    <mergeCell ref="N34:P34"/>
    <mergeCell ref="Q34:S34"/>
    <mergeCell ref="C39:J40"/>
    <mergeCell ref="C47:J48"/>
    <mergeCell ref="N57:N58"/>
    <mergeCell ref="O57:O58"/>
    <mergeCell ref="P57:P58"/>
    <mergeCell ref="Q57:Q58"/>
    <mergeCell ref="R57:R58"/>
    <mergeCell ref="E62:G62"/>
    <mergeCell ref="H62:J62"/>
    <mergeCell ref="N62:P62"/>
    <mergeCell ref="Q62:S62"/>
    <mergeCell ref="E102:G102"/>
    <mergeCell ref="H102:J102"/>
    <mergeCell ref="N102:P102"/>
    <mergeCell ref="Q102:S102"/>
    <mergeCell ref="J116:J119"/>
    <mergeCell ref="M116:M119"/>
    <mergeCell ref="C121:D122"/>
    <mergeCell ref="E121:E122"/>
    <mergeCell ref="F121:F122"/>
    <mergeCell ref="G121:G122"/>
    <mergeCell ref="H121:H122"/>
    <mergeCell ref="I121:I122"/>
    <mergeCell ref="J121:J122"/>
    <mergeCell ref="C116:D119"/>
    <mergeCell ref="E116:E119"/>
    <mergeCell ref="F116:F119"/>
    <mergeCell ref="G116:G119"/>
    <mergeCell ref="H116:H119"/>
    <mergeCell ref="I116:I119"/>
    <mergeCell ref="J126:J127"/>
    <mergeCell ref="C128:D130"/>
    <mergeCell ref="E128:E130"/>
    <mergeCell ref="F128:F130"/>
    <mergeCell ref="G128:G130"/>
    <mergeCell ref="H128:H130"/>
    <mergeCell ref="I128:I130"/>
    <mergeCell ref="J128:J130"/>
    <mergeCell ref="C126:D127"/>
    <mergeCell ref="E126:E127"/>
    <mergeCell ref="F126:F127"/>
    <mergeCell ref="G126:G127"/>
    <mergeCell ref="H126:H127"/>
    <mergeCell ref="I126:I127"/>
    <mergeCell ref="J131:J132"/>
    <mergeCell ref="A147:J148"/>
    <mergeCell ref="C131:D132"/>
    <mergeCell ref="E131:E132"/>
    <mergeCell ref="F131:F132"/>
    <mergeCell ref="G131:G132"/>
    <mergeCell ref="H131:H132"/>
    <mergeCell ref="I131:I132"/>
  </mergeCells>
  <pageMargins left="0.6" right="0.25" top="0.25" bottom="0.25" header="0.25" footer="0"/>
  <pageSetup scale="74" orientation="portrait" r:id="rId1"/>
  <headerFooter alignWithMargins="0">
    <oddFooter>&amp;C&amp;P</oddFooter>
  </headerFooter>
  <rowBreaks count="2" manualBreakCount="2">
    <brk id="30" max="16383" man="1"/>
    <brk id="98" max="11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34"/>
  <sheetViews>
    <sheetView view="pageBreakPreview" zoomScaleNormal="100" zoomScaleSheetLayoutView="100" workbookViewId="0"/>
  </sheetViews>
  <sheetFormatPr defaultColWidth="9.140625" defaultRowHeight="12.75" x14ac:dyDescent="0.2"/>
  <cols>
    <col min="1" max="1" width="1.85546875" style="401" customWidth="1"/>
    <col min="2" max="2" width="2.140625" style="401" customWidth="1"/>
    <col min="3" max="3" width="14.85546875" style="401" bestFit="1" customWidth="1"/>
    <col min="4" max="17" width="8.28515625" style="401" hidden="1" customWidth="1"/>
    <col min="18" max="20" width="10.7109375" style="401" hidden="1" customWidth="1"/>
    <col min="21" max="21" width="8.85546875" style="401" hidden="1" customWidth="1"/>
    <col min="22" max="22" width="9.140625" style="401" hidden="1" customWidth="1"/>
    <col min="23" max="23" width="9.28515625" style="401" customWidth="1"/>
    <col min="24" max="24" width="8.85546875" style="401" customWidth="1"/>
    <col min="25" max="25" width="9.7109375" style="401" customWidth="1"/>
    <col min="26" max="26" width="9.42578125" style="401" customWidth="1"/>
    <col min="27" max="27" width="8.85546875" style="401" customWidth="1"/>
    <col min="28" max="28" width="9.5703125" style="401" customWidth="1"/>
    <col min="29" max="29" width="8.85546875" style="401" customWidth="1"/>
    <col min="30" max="32" width="9.140625" style="401" customWidth="1"/>
    <col min="33" max="16384" width="9.140625" style="401"/>
  </cols>
  <sheetData>
    <row r="1" spans="1:34" ht="16.5" thickBot="1" x14ac:dyDescent="0.3">
      <c r="A1" s="576" t="s">
        <v>837</v>
      </c>
      <c r="B1" s="724"/>
      <c r="C1" s="724"/>
      <c r="D1" s="724"/>
      <c r="E1" s="724"/>
      <c r="F1" s="724"/>
      <c r="G1" s="724"/>
      <c r="H1" s="724"/>
      <c r="I1" s="724"/>
      <c r="J1" s="724"/>
      <c r="K1" s="724"/>
      <c r="L1" s="724"/>
      <c r="M1" s="724"/>
      <c r="N1" s="724"/>
      <c r="O1" s="724"/>
      <c r="P1" s="724"/>
      <c r="Q1" s="724"/>
      <c r="R1" s="724"/>
      <c r="S1" s="724"/>
      <c r="T1" s="724"/>
      <c r="U1" s="724"/>
      <c r="V1" s="724"/>
      <c r="W1" s="724"/>
      <c r="X1" s="724"/>
      <c r="Y1" s="724"/>
      <c r="Z1" s="724"/>
      <c r="AA1" s="521"/>
      <c r="AB1" s="521"/>
      <c r="AC1" s="521"/>
      <c r="AD1" s="521"/>
      <c r="AE1" s="521"/>
      <c r="AF1" s="521"/>
    </row>
    <row r="2" spans="1:34" ht="18.75" x14ac:dyDescent="0.25">
      <c r="A2" s="725" t="s">
        <v>838</v>
      </c>
      <c r="B2" s="726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8"/>
      <c r="U2" s="418"/>
      <c r="V2" s="418"/>
      <c r="W2" s="418"/>
      <c r="X2" s="418"/>
      <c r="Y2" s="418"/>
      <c r="Z2" s="418"/>
    </row>
    <row r="3" spans="1:34" x14ac:dyDescent="0.2">
      <c r="A3" s="418"/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  <c r="Q3" s="418"/>
      <c r="R3" s="418"/>
      <c r="S3" s="418"/>
      <c r="T3" s="418"/>
      <c r="U3" s="418"/>
      <c r="V3" s="418"/>
      <c r="W3" s="418"/>
      <c r="X3" s="418"/>
      <c r="Y3" s="418"/>
      <c r="Z3" s="418"/>
    </row>
    <row r="4" spans="1:34" ht="15" x14ac:dyDescent="0.2">
      <c r="A4" s="727"/>
      <c r="B4" s="727"/>
      <c r="C4" s="727"/>
      <c r="D4" s="728" t="s">
        <v>699</v>
      </c>
      <c r="E4" s="728" t="s">
        <v>84</v>
      </c>
      <c r="F4" s="728" t="s">
        <v>85</v>
      </c>
      <c r="G4" s="728" t="s">
        <v>86</v>
      </c>
      <c r="H4" s="728" t="s">
        <v>87</v>
      </c>
      <c r="I4" s="728" t="s">
        <v>88</v>
      </c>
      <c r="J4" s="728" t="s">
        <v>89</v>
      </c>
      <c r="K4" s="728" t="s">
        <v>90</v>
      </c>
      <c r="L4" s="728" t="s">
        <v>91</v>
      </c>
      <c r="M4" s="728" t="s">
        <v>92</v>
      </c>
      <c r="N4" s="728" t="s">
        <v>93</v>
      </c>
      <c r="O4" s="729" t="s">
        <v>839</v>
      </c>
      <c r="P4" s="729" t="s">
        <v>95</v>
      </c>
      <c r="Q4" s="729" t="s">
        <v>96</v>
      </c>
      <c r="R4" s="729" t="s">
        <v>97</v>
      </c>
      <c r="S4" s="729" t="s">
        <v>98</v>
      </c>
      <c r="T4" s="730" t="s">
        <v>99</v>
      </c>
      <c r="U4" s="730" t="s">
        <v>100</v>
      </c>
      <c r="V4" s="730" t="s">
        <v>101</v>
      </c>
      <c r="W4" s="730" t="s">
        <v>102</v>
      </c>
      <c r="X4" s="731" t="s">
        <v>103</v>
      </c>
      <c r="Y4" s="730" t="s">
        <v>104</v>
      </c>
      <c r="Z4" s="730" t="s">
        <v>146</v>
      </c>
      <c r="AA4" s="730" t="s">
        <v>154</v>
      </c>
      <c r="AB4" s="730" t="s">
        <v>158</v>
      </c>
      <c r="AC4" s="730" t="s">
        <v>224</v>
      </c>
      <c r="AD4" s="730" t="s">
        <v>229</v>
      </c>
      <c r="AE4" s="730" t="s">
        <v>236</v>
      </c>
      <c r="AF4" s="730" t="s">
        <v>533</v>
      </c>
    </row>
    <row r="5" spans="1:34" x14ac:dyDescent="0.2">
      <c r="A5" s="732"/>
      <c r="B5" s="733" t="s">
        <v>840</v>
      </c>
      <c r="C5" s="732"/>
      <c r="D5" s="732"/>
      <c r="E5" s="732"/>
      <c r="F5" s="732"/>
      <c r="G5" s="732"/>
      <c r="H5" s="732"/>
      <c r="I5" s="732"/>
      <c r="J5" s="732"/>
      <c r="K5" s="732"/>
      <c r="L5" s="732"/>
      <c r="M5" s="732"/>
      <c r="N5" s="732"/>
      <c r="O5" s="732"/>
      <c r="P5" s="732"/>
      <c r="Q5" s="732"/>
      <c r="R5" s="732"/>
      <c r="S5" s="732"/>
      <c r="T5" s="732"/>
      <c r="U5" s="732"/>
      <c r="V5" s="732"/>
      <c r="W5" s="732"/>
      <c r="X5" s="734"/>
      <c r="Y5" s="732"/>
      <c r="Z5" s="732"/>
    </row>
    <row r="6" spans="1:34" x14ac:dyDescent="0.2">
      <c r="A6" s="732"/>
      <c r="B6" s="733"/>
      <c r="C6" s="732" t="s">
        <v>144</v>
      </c>
      <c r="D6" s="735">
        <v>7.0000000000000007E-2</v>
      </c>
      <c r="E6" s="735">
        <v>0.06</v>
      </c>
      <c r="F6" s="735">
        <v>0.06</v>
      </c>
      <c r="G6" s="735">
        <v>7.0000000000000007E-2</v>
      </c>
      <c r="H6" s="735">
        <v>0.05</v>
      </c>
      <c r="I6" s="735">
        <v>0.06</v>
      </c>
      <c r="J6" s="735">
        <v>0</v>
      </c>
      <c r="K6" s="735">
        <v>3.7999999999999999E-2</v>
      </c>
      <c r="L6" s="735">
        <v>2.7E-2</v>
      </c>
      <c r="M6" s="735">
        <v>0.03</v>
      </c>
      <c r="N6" s="735">
        <v>0.04</v>
      </c>
      <c r="O6" s="735">
        <v>6.7500000000000004E-2</v>
      </c>
      <c r="P6" s="735">
        <v>9.6000000000000002E-2</v>
      </c>
      <c r="Q6" s="735">
        <v>0.115</v>
      </c>
      <c r="R6" s="735">
        <v>0.10009999999999999</v>
      </c>
      <c r="S6" s="735">
        <v>7.8775267538644472E-2</v>
      </c>
      <c r="T6" s="735">
        <v>9.5000000000000001E-2</v>
      </c>
      <c r="U6" s="735">
        <v>7.5025176233635443E-2</v>
      </c>
      <c r="V6" s="735">
        <v>5.9953161592505855E-2</v>
      </c>
      <c r="W6" s="735">
        <v>9.4962439239947072E-2</v>
      </c>
      <c r="X6" s="735">
        <v>9.502401226845314E-2</v>
      </c>
      <c r="Y6" s="735">
        <v>7.7995547955302502E-2</v>
      </c>
      <c r="Z6" s="735">
        <v>5.9996786313799344E-2</v>
      </c>
      <c r="AA6" s="735">
        <v>4.9998709877180358E-2</v>
      </c>
      <c r="AB6" s="735">
        <v>5.8006450622024364E-2</v>
      </c>
      <c r="AC6" s="735">
        <v>3.4984931801157915E-2</v>
      </c>
      <c r="AD6" s="735">
        <v>3.9E-2</v>
      </c>
      <c r="AE6" s="735">
        <v>3.9E-2</v>
      </c>
      <c r="AF6" s="735">
        <v>3.9E-2</v>
      </c>
      <c r="AH6" s="736"/>
    </row>
    <row r="7" spans="1:34" x14ac:dyDescent="0.2">
      <c r="A7" s="732"/>
      <c r="B7" s="733"/>
      <c r="C7" s="732" t="s">
        <v>18</v>
      </c>
      <c r="D7" s="735">
        <v>7.0000000000000007E-2</v>
      </c>
      <c r="E7" s="735">
        <v>0.06</v>
      </c>
      <c r="F7" s="735">
        <v>0.06</v>
      </c>
      <c r="G7" s="735">
        <v>7.0000000000000007E-2</v>
      </c>
      <c r="H7" s="735">
        <v>7.0000000000000007E-2</v>
      </c>
      <c r="I7" s="735">
        <v>0.06</v>
      </c>
      <c r="J7" s="735">
        <v>0</v>
      </c>
      <c r="K7" s="735">
        <v>3.7999999999999999E-2</v>
      </c>
      <c r="L7" s="735">
        <v>2.7E-2</v>
      </c>
      <c r="M7" s="735">
        <v>0.03</v>
      </c>
      <c r="N7" s="735">
        <v>0.04</v>
      </c>
      <c r="O7" s="735">
        <v>0.09</v>
      </c>
      <c r="P7" s="735">
        <v>9.5000000000000001E-2</v>
      </c>
      <c r="Q7" s="735">
        <v>9.5000000000000001E-2</v>
      </c>
      <c r="R7" s="735">
        <v>7.0000000000000007E-2</v>
      </c>
      <c r="S7" s="735">
        <v>9.7569692637598279E-2</v>
      </c>
      <c r="T7" s="735">
        <v>0.08</v>
      </c>
      <c r="U7" s="735">
        <v>6.9863824748371814E-2</v>
      </c>
      <c r="V7" s="735">
        <v>6.0027662517289075E-2</v>
      </c>
      <c r="W7" s="735">
        <v>5.4989561586638702E-2</v>
      </c>
      <c r="X7" s="735">
        <v>7.4994063402857414E-2</v>
      </c>
      <c r="Y7" s="735">
        <v>9.0038887227041675E-2</v>
      </c>
      <c r="Z7" s="735">
        <v>6.0005910664527651E-2</v>
      </c>
      <c r="AA7" s="735">
        <v>5.000139401687953E-2</v>
      </c>
      <c r="AB7" s="735">
        <v>3.4351564900408471E-2</v>
      </c>
      <c r="AC7" s="735">
        <v>3.0001870303612677E-2</v>
      </c>
      <c r="AD7" s="735">
        <v>3.5000000000000003E-2</v>
      </c>
      <c r="AE7" s="735">
        <v>0.05</v>
      </c>
      <c r="AF7" s="735">
        <v>3.9E-2</v>
      </c>
      <c r="AH7" s="736"/>
    </row>
    <row r="8" spans="1:34" x14ac:dyDescent="0.2">
      <c r="A8" s="732"/>
      <c r="B8" s="733"/>
      <c r="C8" s="732" t="s">
        <v>5</v>
      </c>
      <c r="D8" s="735">
        <v>7.0000000000000007E-2</v>
      </c>
      <c r="E8" s="735">
        <v>0.06</v>
      </c>
      <c r="F8" s="735">
        <v>0.06</v>
      </c>
      <c r="G8" s="735">
        <v>7.0000000000000007E-2</v>
      </c>
      <c r="H8" s="735">
        <v>7.0000000000000007E-2</v>
      </c>
      <c r="I8" s="735">
        <v>0.06</v>
      </c>
      <c r="J8" s="735">
        <v>0</v>
      </c>
      <c r="K8" s="735">
        <v>3.7999999999999999E-2</v>
      </c>
      <c r="L8" s="735">
        <v>2.7E-2</v>
      </c>
      <c r="M8" s="735">
        <v>0.03</v>
      </c>
      <c r="N8" s="735">
        <v>0.04</v>
      </c>
      <c r="O8" s="735">
        <v>7.0000000000000007E-2</v>
      </c>
      <c r="P8" s="735">
        <v>0.09</v>
      </c>
      <c r="Q8" s="735">
        <v>9.4600000000000004E-2</v>
      </c>
      <c r="R8" s="735">
        <v>0.1004</v>
      </c>
      <c r="S8" s="735">
        <v>9.7696245733788392E-2</v>
      </c>
      <c r="T8" s="735">
        <v>8.5000000000000006E-2</v>
      </c>
      <c r="U8" s="735">
        <v>7.0175438596491224E-2</v>
      </c>
      <c r="V8" s="735">
        <v>5.4886211512717539E-2</v>
      </c>
      <c r="W8" s="735">
        <v>6.4922296225816689E-2</v>
      </c>
      <c r="X8" s="735">
        <v>6.0005360812460884E-2</v>
      </c>
      <c r="Y8" s="735">
        <v>6.0030681224326976E-2</v>
      </c>
      <c r="Z8" s="735">
        <v>4.9978265709651026E-2</v>
      </c>
      <c r="AA8" s="735">
        <v>4.9997475639925293E-2</v>
      </c>
      <c r="AB8" s="735">
        <v>3.9995576348852868E-2</v>
      </c>
      <c r="AC8" s="735">
        <v>2.9996624917356662E-2</v>
      </c>
      <c r="AD8" s="735">
        <v>3.5000000000000003E-2</v>
      </c>
      <c r="AE8" s="735">
        <v>3.5000000000000003E-2</v>
      </c>
      <c r="AF8" s="735">
        <v>2.5000000000000001E-2</v>
      </c>
      <c r="AH8" s="736"/>
    </row>
    <row r="9" spans="1:34" x14ac:dyDescent="0.2">
      <c r="A9" s="732"/>
      <c r="B9" s="733"/>
      <c r="C9" s="732" t="s">
        <v>6</v>
      </c>
      <c r="D9" s="735">
        <v>7.0000000000000007E-2</v>
      </c>
      <c r="E9" s="735">
        <v>0.06</v>
      </c>
      <c r="F9" s="735">
        <v>0.06</v>
      </c>
      <c r="G9" s="735">
        <v>7.0000000000000007E-2</v>
      </c>
      <c r="H9" s="735">
        <v>7.0000000000000007E-2</v>
      </c>
      <c r="I9" s="735">
        <v>0.06</v>
      </c>
      <c r="J9" s="735">
        <v>0</v>
      </c>
      <c r="K9" s="735">
        <v>3.7999999999999999E-2</v>
      </c>
      <c r="L9" s="735">
        <v>2.7E-2</v>
      </c>
      <c r="M9" s="735">
        <v>0.03</v>
      </c>
      <c r="N9" s="735">
        <v>5.8000000000000003E-2</v>
      </c>
      <c r="O9" s="735">
        <v>7.4999999999999997E-2</v>
      </c>
      <c r="P9" s="735">
        <v>0.09</v>
      </c>
      <c r="Q9" s="735">
        <v>0.23519999999999999</v>
      </c>
      <c r="R9" s="735">
        <v>0.10979999999999999</v>
      </c>
      <c r="S9" s="735">
        <v>9.5054095826893351E-2</v>
      </c>
      <c r="T9" s="735">
        <v>0.08</v>
      </c>
      <c r="U9" s="735">
        <v>6.9934640522875818E-2</v>
      </c>
      <c r="V9" s="735">
        <v>6.9639584605986557E-2</v>
      </c>
      <c r="W9" s="735">
        <v>6.5105653912050254E-2</v>
      </c>
      <c r="X9" s="735">
        <v>0.12493297587131358</v>
      </c>
      <c r="Y9" s="735">
        <v>0.11010486177311729</v>
      </c>
      <c r="Z9" s="735">
        <v>6.4834693001288191E-2</v>
      </c>
      <c r="AA9" s="735">
        <v>5.0000000000000044E-2</v>
      </c>
      <c r="AB9" s="735">
        <v>3.9938556067588227E-2</v>
      </c>
      <c r="AC9" s="735">
        <v>2.9911373707533162E-2</v>
      </c>
      <c r="AD9" s="735">
        <v>3.5000000000000003E-2</v>
      </c>
      <c r="AE9" s="735">
        <v>2.5000000000000001E-2</v>
      </c>
      <c r="AF9" s="735">
        <v>1.4999999999999999E-2</v>
      </c>
      <c r="AH9" s="736"/>
    </row>
    <row r="10" spans="1:34" x14ac:dyDescent="0.2">
      <c r="A10" s="732"/>
      <c r="B10" s="733"/>
      <c r="C10" s="732" t="s">
        <v>7</v>
      </c>
      <c r="D10" s="735">
        <v>0.03</v>
      </c>
      <c r="E10" s="735">
        <v>0.04</v>
      </c>
      <c r="F10" s="735">
        <v>0.04</v>
      </c>
      <c r="G10" s="735">
        <v>0.04</v>
      </c>
      <c r="H10" s="735">
        <v>5.7599999999999998E-2</v>
      </c>
      <c r="I10" s="735">
        <v>0.05</v>
      </c>
      <c r="J10" s="735">
        <v>0</v>
      </c>
      <c r="K10" s="735">
        <v>3.7999999999999999E-2</v>
      </c>
      <c r="L10" s="735">
        <v>2.7E-2</v>
      </c>
      <c r="M10" s="735">
        <v>0.03</v>
      </c>
      <c r="N10" s="735">
        <v>0.04</v>
      </c>
      <c r="O10" s="735">
        <v>5.5E-2</v>
      </c>
      <c r="P10" s="735">
        <v>9.5000000000000001E-2</v>
      </c>
      <c r="Q10" s="735">
        <v>9.4200000000000006E-2</v>
      </c>
      <c r="R10" s="735">
        <v>9.0499999999999997E-2</v>
      </c>
      <c r="S10" s="735">
        <v>9.5046854082998664E-2</v>
      </c>
      <c r="T10" s="735">
        <v>0.09</v>
      </c>
      <c r="U10" s="735">
        <v>5.4932735426008968E-2</v>
      </c>
      <c r="V10" s="735">
        <v>4.5164718384697128E-2</v>
      </c>
      <c r="W10" s="735">
        <v>9.4051855617691915E-2</v>
      </c>
      <c r="X10" s="735">
        <v>9.4795539033457166E-2</v>
      </c>
      <c r="Y10" s="735">
        <v>6.9609507640068014E-2</v>
      </c>
      <c r="Z10" s="735">
        <v>6.9841269841269815E-2</v>
      </c>
      <c r="AA10" s="735">
        <v>4.9703264094955513E-2</v>
      </c>
      <c r="AB10" s="735">
        <v>5.9363957597173167E-2</v>
      </c>
      <c r="AC10" s="735">
        <v>3.0020013342228147E-2</v>
      </c>
      <c r="AD10" s="735">
        <v>3.5000000000000003E-2</v>
      </c>
      <c r="AE10" s="735">
        <v>2.5000000000000001E-2</v>
      </c>
      <c r="AF10" s="735">
        <v>1.4999999999999999E-2</v>
      </c>
      <c r="AH10" s="736"/>
    </row>
    <row r="11" spans="1:34" x14ac:dyDescent="0.2">
      <c r="A11" s="732"/>
      <c r="B11" s="733"/>
      <c r="C11" s="732" t="s">
        <v>145</v>
      </c>
      <c r="D11" s="735">
        <v>0.03</v>
      </c>
      <c r="E11" s="735">
        <v>0.03</v>
      </c>
      <c r="F11" s="735">
        <v>0.03</v>
      </c>
      <c r="G11" s="735">
        <v>0.04</v>
      </c>
      <c r="H11" s="735">
        <v>0.04</v>
      </c>
      <c r="I11" s="735">
        <v>0</v>
      </c>
      <c r="J11" s="735">
        <v>0</v>
      </c>
      <c r="K11" s="735">
        <v>3.7999999999999999E-2</v>
      </c>
      <c r="L11" s="735">
        <v>2.7E-2</v>
      </c>
      <c r="M11" s="735">
        <v>0.03</v>
      </c>
      <c r="N11" s="735">
        <v>0.04</v>
      </c>
      <c r="O11" s="735">
        <v>5.5E-2</v>
      </c>
      <c r="P11" s="735">
        <v>0.05</v>
      </c>
      <c r="Q11" s="735">
        <v>7.2700000000000001E-2</v>
      </c>
      <c r="R11" s="735">
        <v>7.6300000000000007E-2</v>
      </c>
      <c r="S11" s="735">
        <v>5.1181102362204724E-2</v>
      </c>
      <c r="T11" s="735">
        <v>0.311</v>
      </c>
      <c r="U11" s="735">
        <v>9.0428571428571428E-2</v>
      </c>
      <c r="V11" s="735">
        <v>6.5445026178010471E-2</v>
      </c>
      <c r="W11" s="735">
        <v>8.1081081081081141E-2</v>
      </c>
      <c r="X11" s="735">
        <v>0.11363636363636354</v>
      </c>
      <c r="Y11" s="735">
        <v>0.1183673469387756</v>
      </c>
      <c r="Z11" s="735">
        <v>5.5036496350364894E-2</v>
      </c>
      <c r="AA11" s="735">
        <v>4.9882385498823734E-2</v>
      </c>
      <c r="AB11" s="735">
        <v>4.1735310269082948E-2</v>
      </c>
      <c r="AC11" s="735">
        <v>3.0047443331576273E-2</v>
      </c>
      <c r="AD11" s="735">
        <v>0.05</v>
      </c>
      <c r="AE11" s="735">
        <v>0.05</v>
      </c>
      <c r="AF11" s="735">
        <v>3.5000000000000003E-2</v>
      </c>
      <c r="AH11" s="736"/>
    </row>
    <row r="12" spans="1:34" hidden="1" x14ac:dyDescent="0.2">
      <c r="A12" s="732"/>
      <c r="B12" s="733"/>
      <c r="C12" s="732" t="s">
        <v>711</v>
      </c>
      <c r="D12" s="735">
        <v>0.03</v>
      </c>
      <c r="E12" s="735">
        <v>0.04</v>
      </c>
      <c r="F12" s="735">
        <v>0.04</v>
      </c>
      <c r="G12" s="735">
        <v>0.04</v>
      </c>
      <c r="H12" s="735">
        <v>5.4800000000000001E-2</v>
      </c>
      <c r="I12" s="735">
        <v>0.05</v>
      </c>
      <c r="J12" s="735">
        <v>0</v>
      </c>
      <c r="K12" s="735">
        <v>3.7999999999999999E-2</v>
      </c>
      <c r="L12" s="735">
        <v>2.7E-2</v>
      </c>
      <c r="M12" s="735">
        <v>0.03</v>
      </c>
      <c r="N12" s="735">
        <v>0.04</v>
      </c>
      <c r="O12" s="735">
        <v>5.5E-2</v>
      </c>
      <c r="P12" s="735">
        <v>0.08</v>
      </c>
      <c r="Q12" s="735">
        <v>8.4500000000000006E-2</v>
      </c>
      <c r="R12" s="735">
        <v>7.0400000000000004E-2</v>
      </c>
      <c r="S12" s="735">
        <v>6.9767441860465115E-2</v>
      </c>
      <c r="T12" s="735">
        <v>8.5000000000000006E-2</v>
      </c>
      <c r="U12" s="735">
        <v>4.0022870211549454E-2</v>
      </c>
      <c r="V12" s="735">
        <v>4.452996151731721E-2</v>
      </c>
      <c r="W12" s="735">
        <v>8.9473684210526372E-2</v>
      </c>
      <c r="X12" s="735">
        <v>9.661835748792269E-2</v>
      </c>
      <c r="Y12" s="735">
        <v>8.8986784140969055E-2</v>
      </c>
      <c r="Z12" s="735">
        <v>6.0000000000000053E-2</v>
      </c>
      <c r="AA12" s="735"/>
      <c r="AB12" s="735"/>
      <c r="AC12" s="737">
        <v>0</v>
      </c>
      <c r="AD12" s="737">
        <v>0</v>
      </c>
      <c r="AE12" s="737">
        <v>0</v>
      </c>
      <c r="AF12" s="737">
        <v>0</v>
      </c>
      <c r="AH12" s="736"/>
    </row>
    <row r="13" spans="1:34" x14ac:dyDescent="0.2">
      <c r="A13" s="418"/>
      <c r="B13" s="418"/>
      <c r="C13" s="418" t="s">
        <v>8</v>
      </c>
      <c r="D13" s="735">
        <v>0.03</v>
      </c>
      <c r="E13" s="735">
        <v>0.04</v>
      </c>
      <c r="F13" s="735">
        <v>0.04</v>
      </c>
      <c r="G13" s="735">
        <v>0.04</v>
      </c>
      <c r="H13" s="735">
        <v>0.04</v>
      </c>
      <c r="I13" s="735">
        <v>0.03</v>
      </c>
      <c r="J13" s="735">
        <v>0</v>
      </c>
      <c r="K13" s="735">
        <v>3.7999999999999999E-2</v>
      </c>
      <c r="L13" s="735">
        <v>2.7E-2</v>
      </c>
      <c r="M13" s="735">
        <v>0.03</v>
      </c>
      <c r="N13" s="735">
        <v>0.04</v>
      </c>
      <c r="O13" s="735">
        <v>0.125</v>
      </c>
      <c r="P13" s="735">
        <v>0.19500000000000001</v>
      </c>
      <c r="Q13" s="735">
        <v>0.1249</v>
      </c>
      <c r="R13" s="735">
        <v>0.14480000000000001</v>
      </c>
      <c r="S13" s="735">
        <v>8.7689713322091065E-2</v>
      </c>
      <c r="T13" s="735">
        <v>0.09</v>
      </c>
      <c r="U13" s="735">
        <v>6.6856330014224752E-2</v>
      </c>
      <c r="V13" s="735">
        <v>6.2666666666666662E-2</v>
      </c>
      <c r="W13" s="735">
        <v>8.6574654956085295E-2</v>
      </c>
      <c r="X13" s="735">
        <v>6.004618937644346E-2</v>
      </c>
      <c r="Y13" s="735">
        <v>7.4074074074074181E-2</v>
      </c>
      <c r="Z13" s="735">
        <v>4.513184584178509E-2</v>
      </c>
      <c r="AA13" s="735">
        <v>5.9679767103347992E-2</v>
      </c>
      <c r="AB13" s="735">
        <v>3.9835164835164916E-2</v>
      </c>
      <c r="AC13" s="735">
        <v>2.9942756494936162E-2</v>
      </c>
      <c r="AD13" s="735">
        <v>3.5000000000000003E-2</v>
      </c>
      <c r="AE13" s="735">
        <v>2.5000000000000001E-2</v>
      </c>
      <c r="AF13" s="735">
        <v>1.4999999999999999E-2</v>
      </c>
      <c r="AH13" s="736"/>
    </row>
    <row r="14" spans="1:34" x14ac:dyDescent="0.2">
      <c r="A14" s="418"/>
      <c r="B14" s="418"/>
      <c r="C14" s="418" t="s">
        <v>9</v>
      </c>
      <c r="D14" s="735">
        <v>0.03</v>
      </c>
      <c r="E14" s="735">
        <v>0.03</v>
      </c>
      <c r="F14" s="735">
        <v>0.03</v>
      </c>
      <c r="G14" s="735">
        <v>0.04</v>
      </c>
      <c r="H14" s="735">
        <v>0.04</v>
      </c>
      <c r="I14" s="735">
        <v>0.03</v>
      </c>
      <c r="J14" s="735">
        <v>0</v>
      </c>
      <c r="K14" s="735">
        <v>3.7999999999999999E-2</v>
      </c>
      <c r="L14" s="735">
        <v>2.7E-2</v>
      </c>
      <c r="M14" s="735">
        <v>0.03</v>
      </c>
      <c r="N14" s="735">
        <v>0.04</v>
      </c>
      <c r="O14" s="735">
        <v>5.5E-2</v>
      </c>
      <c r="P14" s="735">
        <v>0.09</v>
      </c>
      <c r="Q14" s="735">
        <v>8.5000000000000006E-2</v>
      </c>
      <c r="R14" s="735">
        <v>7.9600000000000004E-2</v>
      </c>
      <c r="S14" s="735">
        <v>7.4235807860262015E-2</v>
      </c>
      <c r="T14" s="735">
        <v>0.04</v>
      </c>
      <c r="U14" s="735">
        <v>6.0117302052785926E-2</v>
      </c>
      <c r="V14" s="735">
        <v>5.4428044280442803E-2</v>
      </c>
      <c r="W14" s="735">
        <v>3.937007874015741E-2</v>
      </c>
      <c r="X14" s="735">
        <v>6.0606060606060552E-2</v>
      </c>
      <c r="Y14" s="735">
        <v>4.7619047619047672E-2</v>
      </c>
      <c r="Z14" s="735">
        <v>4.5075757575757658E-2</v>
      </c>
      <c r="AA14" s="735">
        <v>5.9804276911924692E-2</v>
      </c>
      <c r="AB14" s="735">
        <v>3.9500683994527996E-2</v>
      </c>
      <c r="AC14" s="735">
        <v>2.9610133245599579E-2</v>
      </c>
      <c r="AD14" s="735">
        <v>3.5000000000000003E-2</v>
      </c>
      <c r="AE14" s="735">
        <v>2.5000000000000001E-2</v>
      </c>
      <c r="AF14" s="735">
        <v>1.4999999999999999E-2</v>
      </c>
      <c r="AH14" s="736"/>
    </row>
    <row r="15" spans="1:34" ht="15" x14ac:dyDescent="0.2">
      <c r="A15" s="418"/>
      <c r="B15" s="418"/>
      <c r="C15" s="418" t="s">
        <v>841</v>
      </c>
      <c r="D15" s="735">
        <f t="shared" ref="D15:U15" si="0">SUM(D6:D14)/9</f>
        <v>4.7777777777777794E-2</v>
      </c>
      <c r="E15" s="735">
        <f t="shared" si="0"/>
        <v>4.6666666666666662E-2</v>
      </c>
      <c r="F15" s="735">
        <f t="shared" si="0"/>
        <v>4.6666666666666662E-2</v>
      </c>
      <c r="G15" s="735">
        <f t="shared" si="0"/>
        <v>5.3333333333333323E-2</v>
      </c>
      <c r="H15" s="735">
        <f t="shared" si="0"/>
        <v>5.4711111111111106E-2</v>
      </c>
      <c r="I15" s="735">
        <f t="shared" si="0"/>
        <v>4.4444444444444446E-2</v>
      </c>
      <c r="J15" s="735">
        <f t="shared" si="0"/>
        <v>0</v>
      </c>
      <c r="K15" s="735">
        <f t="shared" si="0"/>
        <v>3.7999999999999999E-2</v>
      </c>
      <c r="L15" s="735">
        <f t="shared" si="0"/>
        <v>2.7E-2</v>
      </c>
      <c r="M15" s="735">
        <f t="shared" si="0"/>
        <v>3.0000000000000002E-2</v>
      </c>
      <c r="N15" s="735">
        <f t="shared" si="0"/>
        <v>4.1999999999999996E-2</v>
      </c>
      <c r="O15" s="735">
        <f t="shared" si="0"/>
        <v>7.194444444444445E-2</v>
      </c>
      <c r="P15" s="735">
        <f t="shared" si="0"/>
        <v>9.7888888888888873E-2</v>
      </c>
      <c r="Q15" s="735">
        <f t="shared" si="0"/>
        <v>0.11123333333333335</v>
      </c>
      <c r="R15" s="735">
        <f t="shared" si="0"/>
        <v>9.3544444444444458E-2</v>
      </c>
      <c r="S15" s="735">
        <f t="shared" si="0"/>
        <v>8.300180235832734E-2</v>
      </c>
      <c r="T15" s="735">
        <f t="shared" si="0"/>
        <v>0.10622222222222223</v>
      </c>
      <c r="U15" s="735">
        <f t="shared" si="0"/>
        <v>6.6372987692723859E-2</v>
      </c>
      <c r="V15" s="735">
        <f>SUM(V6:V14)/9</f>
        <v>5.7415670806181471E-2</v>
      </c>
      <c r="W15" s="735">
        <v>7.4503478396666101E-2</v>
      </c>
      <c r="X15" s="735">
        <v>8.6739880277259152E-2</v>
      </c>
      <c r="Y15" s="735">
        <v>8.1869637621413666E-2</v>
      </c>
      <c r="Z15" s="735">
        <v>5.6655669477604857E-2</v>
      </c>
      <c r="AA15" s="735">
        <v>5.2383409142879644E-2</v>
      </c>
      <c r="AB15" s="735">
        <v>4.409090807935287E-2</v>
      </c>
      <c r="AC15" s="735">
        <v>3.0564393393000072E-2</v>
      </c>
      <c r="AD15" s="735">
        <v>3.7375000000000005E-2</v>
      </c>
      <c r="AE15" s="735">
        <v>3.4249999999999996E-2</v>
      </c>
      <c r="AF15" s="735">
        <v>2.4750000000000001E-2</v>
      </c>
      <c r="AH15" s="738"/>
    </row>
    <row r="16" spans="1:34" x14ac:dyDescent="0.2">
      <c r="A16" s="418"/>
      <c r="B16" s="418"/>
      <c r="C16" s="418" t="s">
        <v>842</v>
      </c>
      <c r="D16" s="735"/>
      <c r="E16" s="735"/>
      <c r="F16" s="735"/>
      <c r="G16" s="735"/>
      <c r="H16" s="735"/>
      <c r="I16" s="735"/>
      <c r="J16" s="735"/>
      <c r="K16" s="735"/>
      <c r="L16" s="735"/>
      <c r="M16" s="735"/>
      <c r="N16" s="735"/>
      <c r="O16" s="735">
        <v>5.5E-2</v>
      </c>
      <c r="P16" s="735">
        <v>0.04</v>
      </c>
      <c r="Q16" s="735">
        <v>4.4999999999999998E-2</v>
      </c>
      <c r="R16" s="735">
        <v>0.03</v>
      </c>
      <c r="S16" s="735">
        <v>3.5000000000000003E-2</v>
      </c>
      <c r="T16" s="735">
        <v>0.04</v>
      </c>
      <c r="U16" s="735">
        <v>0.04</v>
      </c>
      <c r="V16" s="735">
        <v>3.5000000000000003E-2</v>
      </c>
      <c r="W16" s="735">
        <v>0.01</v>
      </c>
      <c r="X16" s="735">
        <v>1.4999999999999999E-2</v>
      </c>
      <c r="Y16" s="735">
        <v>0.05</v>
      </c>
      <c r="Z16" s="735">
        <v>4.4999999999999998E-2</v>
      </c>
      <c r="AA16" s="735">
        <v>0.05</v>
      </c>
      <c r="AB16" s="735">
        <v>0.04</v>
      </c>
      <c r="AC16" s="735">
        <v>0.03</v>
      </c>
      <c r="AD16" s="735">
        <v>3.5000000000000003E-2</v>
      </c>
      <c r="AE16" s="735">
        <v>2.5000000000000001E-2</v>
      </c>
      <c r="AF16" s="735">
        <v>1.4999999999999999E-2</v>
      </c>
    </row>
    <row r="17" spans="1:32" x14ac:dyDescent="0.2">
      <c r="A17" s="418"/>
      <c r="B17" s="418"/>
      <c r="C17" s="418"/>
      <c r="D17" s="735"/>
      <c r="E17" s="735"/>
      <c r="F17" s="735"/>
      <c r="G17" s="735"/>
      <c r="H17" s="735"/>
      <c r="I17" s="735"/>
      <c r="J17" s="735"/>
      <c r="K17" s="735"/>
      <c r="L17" s="735"/>
      <c r="M17" s="735"/>
      <c r="N17" s="735"/>
      <c r="O17" s="735"/>
      <c r="P17" s="735"/>
      <c r="Q17" s="735"/>
      <c r="R17" s="735"/>
      <c r="S17" s="738"/>
      <c r="T17" s="738"/>
      <c r="U17" s="738"/>
      <c r="V17" s="738"/>
      <c r="W17" s="738"/>
      <c r="X17" s="738"/>
      <c r="Y17" s="738"/>
      <c r="Z17" s="738"/>
      <c r="AA17" s="738"/>
      <c r="AB17" s="735"/>
      <c r="AC17" s="735"/>
      <c r="AD17" s="739"/>
      <c r="AE17" s="739"/>
      <c r="AF17" s="739"/>
    </row>
    <row r="18" spans="1:32" x14ac:dyDescent="0.2">
      <c r="A18" s="418"/>
      <c r="B18" s="733" t="s">
        <v>843</v>
      </c>
      <c r="C18" s="418"/>
      <c r="D18" s="735"/>
      <c r="E18" s="735"/>
      <c r="F18" s="735"/>
      <c r="G18" s="735"/>
      <c r="H18" s="735"/>
      <c r="I18" s="735"/>
      <c r="J18" s="735"/>
      <c r="K18" s="735"/>
      <c r="L18" s="735"/>
      <c r="M18" s="735"/>
      <c r="N18" s="735"/>
      <c r="O18" s="735"/>
      <c r="P18" s="735"/>
      <c r="Q18" s="735"/>
      <c r="R18" s="735"/>
      <c r="S18" s="735"/>
      <c r="T18" s="735"/>
      <c r="U18" s="735"/>
      <c r="V18" s="735"/>
      <c r="W18" s="735"/>
      <c r="X18" s="735"/>
      <c r="Y18" s="735"/>
      <c r="Z18" s="735"/>
      <c r="AD18" s="593"/>
      <c r="AE18" s="593"/>
      <c r="AF18" s="593"/>
    </row>
    <row r="19" spans="1:32" x14ac:dyDescent="0.2">
      <c r="A19" s="732"/>
      <c r="B19" s="733"/>
      <c r="C19" s="732" t="s">
        <v>144</v>
      </c>
      <c r="D19" s="735">
        <v>7.0000000000000007E-2</v>
      </c>
      <c r="E19" s="735">
        <v>6.2E-2</v>
      </c>
      <c r="F19" s="735">
        <v>8.2000000000000003E-2</v>
      </c>
      <c r="G19" s="735">
        <v>0.114</v>
      </c>
      <c r="H19" s="735">
        <v>7.5999999999999998E-2</v>
      </c>
      <c r="I19" s="735">
        <v>6.0999999999999999E-2</v>
      </c>
      <c r="J19" s="735">
        <v>0</v>
      </c>
      <c r="K19" s="735">
        <v>3.7999999999999999E-2</v>
      </c>
      <c r="L19" s="735">
        <v>2.7E-2</v>
      </c>
      <c r="M19" s="735">
        <v>0.03</v>
      </c>
      <c r="N19" s="735">
        <v>0.04</v>
      </c>
      <c r="O19" s="735">
        <v>6.7500000000000004E-2</v>
      </c>
      <c r="P19" s="735">
        <v>9.6000000000000002E-2</v>
      </c>
      <c r="Q19" s="735">
        <v>0.115</v>
      </c>
      <c r="R19" s="735">
        <v>0.1</v>
      </c>
      <c r="S19" s="735">
        <v>7.873280108714116E-2</v>
      </c>
      <c r="T19" s="735">
        <v>9.5000000000000001E-2</v>
      </c>
      <c r="U19" s="735">
        <v>7.5025176233635443E-2</v>
      </c>
      <c r="V19" s="735">
        <v>6.0020073603211779E-2</v>
      </c>
      <c r="W19" s="735">
        <v>9.4962757227622818E-2</v>
      </c>
      <c r="X19" s="735">
        <v>9.4994926901259102E-2</v>
      </c>
      <c r="Y19" s="735">
        <v>7.7996358892336692E-2</v>
      </c>
      <c r="Z19" s="735">
        <v>5.9998925555658777E-2</v>
      </c>
      <c r="AA19" s="735">
        <v>6.3046725475506493E-2</v>
      </c>
      <c r="AB19" s="735">
        <v>4.5016166361831811E-2</v>
      </c>
      <c r="AC19" s="735">
        <v>3.4994467310681676E-2</v>
      </c>
      <c r="AD19" s="735">
        <v>3.9E-2</v>
      </c>
      <c r="AE19" s="735">
        <v>3.9E-2</v>
      </c>
      <c r="AF19" s="735">
        <v>3.9E-2</v>
      </c>
    </row>
    <row r="20" spans="1:32" x14ac:dyDescent="0.2">
      <c r="A20" s="732"/>
      <c r="B20" s="733"/>
      <c r="C20" s="732" t="s">
        <v>18</v>
      </c>
      <c r="D20" s="735">
        <v>7.0000000000000007E-2</v>
      </c>
      <c r="E20" s="735">
        <v>0.06</v>
      </c>
      <c r="F20" s="735">
        <v>0.06</v>
      </c>
      <c r="G20" s="735">
        <v>0.127</v>
      </c>
      <c r="H20" s="735">
        <v>0.113</v>
      </c>
      <c r="I20" s="735">
        <v>-0.02</v>
      </c>
      <c r="J20" s="735">
        <v>5.6000000000000001E-2</v>
      </c>
      <c r="K20" s="735">
        <v>3.7999999999999999E-2</v>
      </c>
      <c r="L20" s="735">
        <v>2.7E-2</v>
      </c>
      <c r="M20" s="735">
        <v>0.03</v>
      </c>
      <c r="N20" s="735">
        <v>0.04</v>
      </c>
      <c r="O20" s="735">
        <v>0.09</v>
      </c>
      <c r="P20" s="735">
        <v>0.09</v>
      </c>
      <c r="Q20" s="735">
        <v>9.5000000000000001E-2</v>
      </c>
      <c r="R20" s="735">
        <v>7.0000000000000007E-2</v>
      </c>
      <c r="S20" s="735">
        <v>9.7458097458097456E-2</v>
      </c>
      <c r="T20" s="735">
        <v>0.08</v>
      </c>
      <c r="U20" s="735">
        <v>6.9957712814855674E-2</v>
      </c>
      <c r="V20" s="735">
        <v>6.0056705902568952E-2</v>
      </c>
      <c r="W20" s="735">
        <v>5.5010536553736333E-2</v>
      </c>
      <c r="X20" s="735">
        <v>7.5006606887142002E-2</v>
      </c>
      <c r="Y20" s="735">
        <v>9.0007475134102233E-2</v>
      </c>
      <c r="Z20" s="735">
        <v>6.0004432048694767E-2</v>
      </c>
      <c r="AA20" s="735">
        <v>5.0001979247588979E-2</v>
      </c>
      <c r="AB20" s="735">
        <v>3.441999319045852E-2</v>
      </c>
      <c r="AC20" s="735">
        <v>2.9982062014179522E-2</v>
      </c>
      <c r="AD20" s="735">
        <v>3.5000000000000003E-2</v>
      </c>
      <c r="AE20" s="735">
        <v>0.05</v>
      </c>
      <c r="AF20" s="735">
        <v>3.9E-2</v>
      </c>
    </row>
    <row r="21" spans="1:32" x14ac:dyDescent="0.2">
      <c r="A21" s="732"/>
      <c r="B21" s="733"/>
      <c r="C21" s="732" t="s">
        <v>5</v>
      </c>
      <c r="D21" s="735">
        <v>0.06</v>
      </c>
      <c r="E21" s="735">
        <v>0.06</v>
      </c>
      <c r="F21" s="735">
        <v>0.1</v>
      </c>
      <c r="G21" s="735">
        <v>0.13100000000000001</v>
      </c>
      <c r="H21" s="735">
        <v>0.14000000000000001</v>
      </c>
      <c r="I21" s="735">
        <v>0</v>
      </c>
      <c r="J21" s="735">
        <v>0</v>
      </c>
      <c r="K21" s="735">
        <v>3.2000000000000001E-2</v>
      </c>
      <c r="L21" s="735">
        <v>2.8000000000000001E-2</v>
      </c>
      <c r="M21" s="735">
        <v>0.03</v>
      </c>
      <c r="N21" s="735">
        <v>0.04</v>
      </c>
      <c r="O21" s="735">
        <v>7.0000000000000007E-2</v>
      </c>
      <c r="P21" s="735">
        <v>7.0000000000000007E-2</v>
      </c>
      <c r="Q21" s="735">
        <v>9.4500000000000001E-2</v>
      </c>
      <c r="R21" s="735">
        <v>0.1003</v>
      </c>
      <c r="S21" s="735">
        <v>9.7879083373963921E-2</v>
      </c>
      <c r="T21" s="735">
        <v>8.5000000000000006E-2</v>
      </c>
      <c r="U21" s="735">
        <v>6.9967266775777415E-2</v>
      </c>
      <c r="V21" s="737">
        <v>0</v>
      </c>
      <c r="W21" s="735">
        <v>3.5024380915957609E-2</v>
      </c>
      <c r="X21" s="735">
        <v>2.9970476623323972E-2</v>
      </c>
      <c r="Y21" s="735">
        <v>2.9993470711477288E-2</v>
      </c>
      <c r="Z21" s="735">
        <v>4.9997474787054852E-2</v>
      </c>
      <c r="AA21" s="735">
        <v>3.4994808580934622E-2</v>
      </c>
      <c r="AB21" s="735">
        <v>4.0005320367874742E-2</v>
      </c>
      <c r="AC21" s="735">
        <v>2.9999337422821348E-2</v>
      </c>
      <c r="AD21" s="735">
        <v>3.5000000000000003E-2</v>
      </c>
      <c r="AE21" s="735">
        <v>3.5000000000000003E-2</v>
      </c>
      <c r="AF21" s="735">
        <v>2.5000000000000001E-2</v>
      </c>
    </row>
    <row r="22" spans="1:32" x14ac:dyDescent="0.2">
      <c r="A22" s="732"/>
      <c r="B22" s="733"/>
      <c r="C22" s="732" t="s">
        <v>6</v>
      </c>
      <c r="D22" s="735">
        <v>0.08</v>
      </c>
      <c r="E22" s="735">
        <v>0.06</v>
      </c>
      <c r="F22" s="735">
        <v>0.1</v>
      </c>
      <c r="G22" s="735">
        <v>0.152</v>
      </c>
      <c r="H22" s="735">
        <v>0.20100000000000001</v>
      </c>
      <c r="I22" s="735">
        <v>0</v>
      </c>
      <c r="J22" s="735">
        <v>0</v>
      </c>
      <c r="K22" s="735">
        <v>3.7999999999999999E-2</v>
      </c>
      <c r="L22" s="735">
        <v>2.7E-2</v>
      </c>
      <c r="M22" s="735">
        <v>0.03</v>
      </c>
      <c r="N22" s="735">
        <v>5.8000000000000003E-2</v>
      </c>
      <c r="O22" s="735">
        <v>5.5E-2</v>
      </c>
      <c r="P22" s="735">
        <v>5.5E-2</v>
      </c>
      <c r="Q22" s="735">
        <v>0.1183</v>
      </c>
      <c r="R22" s="735">
        <v>0.1099</v>
      </c>
      <c r="S22" s="735">
        <v>9.4942636384921564E-2</v>
      </c>
      <c r="T22" s="735">
        <v>0.08</v>
      </c>
      <c r="U22" s="735">
        <v>7.0013864131511186E-2</v>
      </c>
      <c r="V22" s="735">
        <v>6.9875057843590924E-2</v>
      </c>
      <c r="W22" s="735">
        <v>6.4705882352941169E-2</v>
      </c>
      <c r="X22" s="735">
        <v>0.12495937601559959</v>
      </c>
      <c r="Y22" s="735">
        <v>0.11006788964321834</v>
      </c>
      <c r="Z22" s="735">
        <v>6.4931685100845904E-2</v>
      </c>
      <c r="AA22" s="735">
        <v>4.9975562072336333E-2</v>
      </c>
      <c r="AB22" s="735">
        <v>4.0032584661934045E-2</v>
      </c>
      <c r="AC22" s="735">
        <v>2.9987691619111523E-2</v>
      </c>
      <c r="AD22" s="735">
        <v>3.5000000000000003E-2</v>
      </c>
      <c r="AE22" s="735">
        <v>2.5000000000000001E-2</v>
      </c>
      <c r="AF22" s="735">
        <v>1.4999999999999999E-2</v>
      </c>
    </row>
    <row r="23" spans="1:32" x14ac:dyDescent="0.2">
      <c r="A23" s="732"/>
      <c r="B23" s="733"/>
      <c r="C23" s="732" t="s">
        <v>7</v>
      </c>
      <c r="D23" s="735">
        <v>7.0000000000000007E-2</v>
      </c>
      <c r="E23" s="735">
        <v>3.9E-2</v>
      </c>
      <c r="F23" s="735">
        <v>0.44600000000000001</v>
      </c>
      <c r="G23" s="735">
        <v>0.20599999999999999</v>
      </c>
      <c r="H23" s="735">
        <v>5.8000000000000003E-2</v>
      </c>
      <c r="I23" s="735">
        <v>0</v>
      </c>
      <c r="J23" s="735">
        <v>0</v>
      </c>
      <c r="K23" s="735">
        <v>3.7999999999999999E-2</v>
      </c>
      <c r="L23" s="735">
        <v>2.7E-2</v>
      </c>
      <c r="M23" s="735">
        <v>3.1E-2</v>
      </c>
      <c r="N23" s="735">
        <v>0.04</v>
      </c>
      <c r="O23" s="735">
        <v>5.5E-2</v>
      </c>
      <c r="P23" s="735">
        <v>5.5E-2</v>
      </c>
      <c r="Q23" s="735">
        <v>4.5100000000000001E-2</v>
      </c>
      <c r="R23" s="735">
        <v>3.0300000000000001E-2</v>
      </c>
      <c r="S23" s="735">
        <v>9.4948849104859331E-2</v>
      </c>
      <c r="T23" s="735">
        <v>0.04</v>
      </c>
      <c r="U23" s="735">
        <v>5.4931160438325376E-2</v>
      </c>
      <c r="V23" s="735">
        <v>4.5012651484884807E-2</v>
      </c>
      <c r="W23" s="737">
        <v>0</v>
      </c>
      <c r="X23" s="735">
        <v>9.5056065239551568E-2</v>
      </c>
      <c r="Y23" s="735">
        <v>7.0048871305562033E-2</v>
      </c>
      <c r="Z23" s="735">
        <v>7.0030448020878655E-2</v>
      </c>
      <c r="AA23" s="735">
        <v>5.0000000000000044E-2</v>
      </c>
      <c r="AB23" s="735">
        <v>6.0007742934572228E-2</v>
      </c>
      <c r="AC23" s="735">
        <v>2.9948867786705691E-2</v>
      </c>
      <c r="AD23" s="735">
        <v>3.5000000000000003E-2</v>
      </c>
      <c r="AE23" s="735">
        <v>2.5000000000000001E-2</v>
      </c>
      <c r="AF23" s="735">
        <v>1.4999999999999999E-2</v>
      </c>
    </row>
    <row r="24" spans="1:32" x14ac:dyDescent="0.2">
      <c r="A24" s="732"/>
      <c r="B24" s="733"/>
      <c r="C24" s="732" t="s">
        <v>145</v>
      </c>
      <c r="D24" s="735">
        <v>2.9000000000000001E-2</v>
      </c>
      <c r="E24" s="735">
        <v>3.1E-2</v>
      </c>
      <c r="F24" s="735">
        <v>0.18099999999999999</v>
      </c>
      <c r="G24" s="735">
        <v>0.111</v>
      </c>
      <c r="H24" s="735">
        <v>0.14699999999999999</v>
      </c>
      <c r="I24" s="735">
        <v>1.2999999999999999E-2</v>
      </c>
      <c r="J24" s="735">
        <v>0</v>
      </c>
      <c r="K24" s="735">
        <v>3.7999999999999999E-2</v>
      </c>
      <c r="L24" s="735">
        <v>2.7E-2</v>
      </c>
      <c r="M24" s="735">
        <v>0.03</v>
      </c>
      <c r="N24" s="735">
        <v>0.04</v>
      </c>
      <c r="O24" s="735">
        <v>5.5E-2</v>
      </c>
      <c r="P24" s="735">
        <v>5.5E-2</v>
      </c>
      <c r="Q24" s="735">
        <v>7.4999999999999997E-2</v>
      </c>
      <c r="R24" s="735">
        <v>7.7499999999999999E-2</v>
      </c>
      <c r="S24" s="735">
        <v>5.1258992805755396E-2</v>
      </c>
      <c r="T24" s="735">
        <v>0.23599999999999999</v>
      </c>
      <c r="U24" s="735">
        <v>4.0050784856879039E-2</v>
      </c>
      <c r="V24" s="735">
        <v>6.6696260126512044E-2</v>
      </c>
      <c r="W24" s="735">
        <v>8.1148564294631687E-2</v>
      </c>
      <c r="X24" s="735">
        <v>0.1131639722863742</v>
      </c>
      <c r="Y24" s="735">
        <v>0.11825726141078841</v>
      </c>
      <c r="Z24" s="735">
        <v>-0.14187384044526907</v>
      </c>
      <c r="AA24" s="735">
        <v>5.0742654530516962E-2</v>
      </c>
      <c r="AB24" s="735">
        <v>3.9951989026063117E-2</v>
      </c>
      <c r="AC24" s="735">
        <v>3.000824402308333E-2</v>
      </c>
      <c r="AD24" s="735">
        <v>0.05</v>
      </c>
      <c r="AE24" s="735">
        <v>0.05</v>
      </c>
      <c r="AF24" s="735">
        <v>3.5000000000000003E-2</v>
      </c>
    </row>
    <row r="25" spans="1:32" hidden="1" x14ac:dyDescent="0.2">
      <c r="A25" s="732"/>
      <c r="B25" s="733"/>
      <c r="C25" s="732" t="s">
        <v>711</v>
      </c>
      <c r="D25" s="735">
        <v>0.03</v>
      </c>
      <c r="E25" s="735">
        <v>0.04</v>
      </c>
      <c r="F25" s="735">
        <v>0.1</v>
      </c>
      <c r="G25" s="735">
        <v>0.15</v>
      </c>
      <c r="H25" s="735">
        <v>0.14000000000000001</v>
      </c>
      <c r="I25" s="735">
        <v>8.5000000000000006E-2</v>
      </c>
      <c r="J25" s="735">
        <v>0</v>
      </c>
      <c r="K25" s="735">
        <v>3.7999999999999999E-2</v>
      </c>
      <c r="L25" s="735">
        <v>2.8000000000000001E-2</v>
      </c>
      <c r="M25" s="735">
        <v>6.3E-2</v>
      </c>
      <c r="N25" s="735">
        <v>0.04</v>
      </c>
      <c r="O25" s="735">
        <v>5.5E-2</v>
      </c>
      <c r="P25" s="735">
        <v>5.5E-2</v>
      </c>
      <c r="Q25" s="735">
        <v>8.5900000000000004E-2</v>
      </c>
      <c r="R25" s="735">
        <v>7.0499999999999993E-2</v>
      </c>
      <c r="S25" s="735">
        <v>7.0058646378189884E-2</v>
      </c>
      <c r="T25" s="735">
        <v>8.5000000000000006E-2</v>
      </c>
      <c r="U25" s="735">
        <v>3.9978168917996999E-2</v>
      </c>
      <c r="V25" s="735">
        <v>-0.50144319076357913</v>
      </c>
      <c r="W25" s="735">
        <v>8.9473684210526372E-2</v>
      </c>
      <c r="X25" s="735">
        <v>9.661835748792269E-2</v>
      </c>
      <c r="Y25" s="735">
        <v>8.8986784140969055E-2</v>
      </c>
      <c r="Z25" s="735">
        <v>6.0000000000000053E-2</v>
      </c>
      <c r="AA25" s="735">
        <v>5.0009159186664265E-2</v>
      </c>
      <c r="AB25" s="737">
        <v>0</v>
      </c>
      <c r="AC25" s="737">
        <v>0</v>
      </c>
      <c r="AD25" s="737">
        <v>0</v>
      </c>
      <c r="AE25" s="737">
        <v>0</v>
      </c>
      <c r="AF25" s="737">
        <v>0</v>
      </c>
    </row>
    <row r="26" spans="1:32" x14ac:dyDescent="0.2">
      <c r="A26" s="418"/>
      <c r="B26" s="418"/>
      <c r="C26" s="418" t="s">
        <v>8</v>
      </c>
      <c r="D26" s="735">
        <v>3.1E-2</v>
      </c>
      <c r="E26" s="735">
        <v>3.9E-2</v>
      </c>
      <c r="F26" s="735">
        <v>8.6999999999999994E-2</v>
      </c>
      <c r="G26" s="735">
        <v>8.5999999999999993E-2</v>
      </c>
      <c r="H26" s="735">
        <v>0.107</v>
      </c>
      <c r="I26" s="735">
        <v>0.04</v>
      </c>
      <c r="J26" s="735">
        <v>0</v>
      </c>
      <c r="K26" s="735">
        <v>3.7999999999999999E-2</v>
      </c>
      <c r="L26" s="735">
        <v>2.7E-2</v>
      </c>
      <c r="M26" s="735">
        <v>0.03</v>
      </c>
      <c r="N26" s="735">
        <v>0.04</v>
      </c>
      <c r="O26" s="735">
        <v>0.125</v>
      </c>
      <c r="P26" s="735">
        <v>0.125</v>
      </c>
      <c r="Q26" s="735">
        <v>0.12470000000000001</v>
      </c>
      <c r="R26" s="735">
        <v>0.14480000000000001</v>
      </c>
      <c r="S26" s="735">
        <v>8.7689713322091065E-2</v>
      </c>
      <c r="T26" s="735">
        <v>0.09</v>
      </c>
      <c r="U26" s="735">
        <v>6.6957935378988004E-2</v>
      </c>
      <c r="V26" s="735">
        <v>4.2757832587372632E-2</v>
      </c>
      <c r="W26" s="735">
        <v>3.2328767123287694E-2</v>
      </c>
      <c r="X26" s="735">
        <v>2.8839348903043183E-2</v>
      </c>
      <c r="Y26" s="735">
        <v>5.7609630266552081E-2</v>
      </c>
      <c r="Z26" s="735">
        <v>4.5040650406503957E-2</v>
      </c>
      <c r="AA26" s="735">
        <v>5.3213007624085984E-2</v>
      </c>
      <c r="AB26" s="735">
        <v>3.9592258827005455E-2</v>
      </c>
      <c r="AC26" s="735">
        <v>2.9842262327696378E-2</v>
      </c>
      <c r="AD26" s="735">
        <v>3.5000000000000003E-2</v>
      </c>
      <c r="AE26" s="735">
        <v>2.5000000000000001E-2</v>
      </c>
      <c r="AF26" s="735">
        <v>1.4999999999999999E-2</v>
      </c>
    </row>
    <row r="27" spans="1:32" x14ac:dyDescent="0.2">
      <c r="A27" s="418"/>
      <c r="B27" s="418"/>
      <c r="C27" s="418" t="s">
        <v>9</v>
      </c>
      <c r="D27" s="735">
        <v>2.9000000000000001E-2</v>
      </c>
      <c r="E27" s="735">
        <v>3.5999999999999997E-2</v>
      </c>
      <c r="F27" s="735">
        <v>6.7000000000000004E-2</v>
      </c>
      <c r="G27" s="735">
        <v>7.2999999999999995E-2</v>
      </c>
      <c r="H27" s="735">
        <v>6.8000000000000005E-2</v>
      </c>
      <c r="I27" s="735">
        <v>0.05</v>
      </c>
      <c r="J27" s="735">
        <v>0</v>
      </c>
      <c r="K27" s="735">
        <v>3.6999999999999998E-2</v>
      </c>
      <c r="L27" s="735">
        <v>2.7E-2</v>
      </c>
      <c r="M27" s="735">
        <v>0.03</v>
      </c>
      <c r="N27" s="735">
        <v>0.04</v>
      </c>
      <c r="O27" s="735">
        <v>5.5E-2</v>
      </c>
      <c r="P27" s="735">
        <v>6.8000000000000005E-2</v>
      </c>
      <c r="Q27" s="735">
        <v>8.4900000000000003E-2</v>
      </c>
      <c r="R27" s="735">
        <v>7.9600000000000004E-2</v>
      </c>
      <c r="S27" s="735">
        <v>7.4235807860262015E-2</v>
      </c>
      <c r="T27" s="735">
        <v>0.04</v>
      </c>
      <c r="U27" s="735">
        <v>6.004747940231811E-2</v>
      </c>
      <c r="V27" s="735">
        <v>5.4296257248286767E-2</v>
      </c>
      <c r="W27" s="735">
        <v>3.9500000000000091E-2</v>
      </c>
      <c r="X27" s="735">
        <v>5.3391053391053322E-2</v>
      </c>
      <c r="Y27" s="735">
        <v>4.9315068493150704E-2</v>
      </c>
      <c r="Z27" s="735">
        <v>4.4495213228894714E-2</v>
      </c>
      <c r="AA27" s="735">
        <v>5.9889594833871573E-2</v>
      </c>
      <c r="AB27" s="735">
        <v>3.9848663522012551E-2</v>
      </c>
      <c r="AC27" s="737">
        <v>0</v>
      </c>
      <c r="AD27" s="735">
        <v>3.5000000000000003E-2</v>
      </c>
      <c r="AE27" s="735">
        <v>2.5000000000000001E-2</v>
      </c>
      <c r="AF27" s="735">
        <v>1.4999999999999999E-2</v>
      </c>
    </row>
    <row r="28" spans="1:32" ht="15" x14ac:dyDescent="0.2">
      <c r="A28" s="418"/>
      <c r="B28" s="418"/>
      <c r="C28" s="418" t="s">
        <v>841</v>
      </c>
      <c r="D28" s="735">
        <v>4.8000000000000001E-2</v>
      </c>
      <c r="E28" s="735">
        <f t="shared" ref="E28:U28" si="1">SUM(E19:E27)/9</f>
        <v>4.7444444444444428E-2</v>
      </c>
      <c r="F28" s="735">
        <f t="shared" si="1"/>
        <v>0.13588888888888889</v>
      </c>
      <c r="G28" s="735">
        <f t="shared" si="1"/>
        <v>0.12777777777777777</v>
      </c>
      <c r="H28" s="735">
        <f t="shared" si="1"/>
        <v>0.11666666666666667</v>
      </c>
      <c r="I28" s="735">
        <f t="shared" si="1"/>
        <v>2.544444444444445E-2</v>
      </c>
      <c r="J28" s="735">
        <f t="shared" si="1"/>
        <v>6.2222222222222227E-3</v>
      </c>
      <c r="K28" s="735">
        <f t="shared" si="1"/>
        <v>3.7222222222222219E-2</v>
      </c>
      <c r="L28" s="735">
        <f t="shared" si="1"/>
        <v>2.7222222222222221E-2</v>
      </c>
      <c r="M28" s="735">
        <f t="shared" si="1"/>
        <v>3.3777777777777782E-2</v>
      </c>
      <c r="N28" s="735">
        <f t="shared" si="1"/>
        <v>4.1999999999999996E-2</v>
      </c>
      <c r="O28" s="735">
        <f t="shared" si="1"/>
        <v>6.9722222222222227E-2</v>
      </c>
      <c r="P28" s="735">
        <f t="shared" si="1"/>
        <v>7.4333333333333335E-2</v>
      </c>
      <c r="Q28" s="735">
        <f t="shared" si="1"/>
        <v>9.3155555555555547E-2</v>
      </c>
      <c r="R28" s="735">
        <f t="shared" si="1"/>
        <v>8.6988888888888893E-2</v>
      </c>
      <c r="S28" s="735">
        <f t="shared" si="1"/>
        <v>8.3022736419475746E-2</v>
      </c>
      <c r="T28" s="735">
        <f t="shared" si="1"/>
        <v>9.2333333333333323E-2</v>
      </c>
      <c r="U28" s="735">
        <f t="shared" si="1"/>
        <v>6.0769949883365246E-2</v>
      </c>
      <c r="V28" s="735">
        <f>SUM(V19:V27)/9</f>
        <v>-1.1414261329683468E-2</v>
      </c>
      <c r="W28" s="735">
        <v>5.4683841408744861E-2</v>
      </c>
      <c r="X28" s="735">
        <v>7.9111131526141076E-2</v>
      </c>
      <c r="Y28" s="735">
        <v>7.6920312222017423E-2</v>
      </c>
      <c r="Z28" s="735">
        <v>3.4736109855918067E-2</v>
      </c>
      <c r="AA28" s="735">
        <v>5.1483041545605124E-2</v>
      </c>
      <c r="AB28" s="735">
        <v>4.2359339861469059E-2</v>
      </c>
      <c r="AC28" s="735">
        <v>2.6845366563034934E-2</v>
      </c>
      <c r="AD28" s="735">
        <v>3.7375000000000005E-2</v>
      </c>
      <c r="AE28" s="735">
        <v>3.4249999999999996E-2</v>
      </c>
      <c r="AF28" s="735">
        <v>2.4750000000000001E-2</v>
      </c>
    </row>
    <row r="29" spans="1:32" x14ac:dyDescent="0.2">
      <c r="A29" s="418"/>
      <c r="B29" s="418"/>
      <c r="C29" s="418" t="s">
        <v>842</v>
      </c>
      <c r="D29" s="735"/>
      <c r="E29" s="735"/>
      <c r="F29" s="735"/>
      <c r="G29" s="735"/>
      <c r="H29" s="735"/>
      <c r="I29" s="735"/>
      <c r="J29" s="735"/>
      <c r="K29" s="735"/>
      <c r="L29" s="735"/>
      <c r="M29" s="735"/>
      <c r="N29" s="735"/>
      <c r="O29" s="735">
        <v>5.5E-2</v>
      </c>
      <c r="P29" s="735">
        <v>0.04</v>
      </c>
      <c r="Q29" s="735">
        <v>4.4999999999999998E-2</v>
      </c>
      <c r="R29" s="735">
        <v>0.03</v>
      </c>
      <c r="S29" s="735">
        <f>+S16</f>
        <v>3.5000000000000003E-2</v>
      </c>
      <c r="T29" s="735">
        <f>+T16</f>
        <v>0.04</v>
      </c>
      <c r="U29" s="735">
        <f>+U16</f>
        <v>0.04</v>
      </c>
      <c r="V29" s="735">
        <f>+V16</f>
        <v>3.5000000000000003E-2</v>
      </c>
      <c r="W29" s="735">
        <v>0.01</v>
      </c>
      <c r="X29" s="735">
        <v>1.4999999999999999E-2</v>
      </c>
      <c r="Y29" s="735">
        <v>0.05</v>
      </c>
      <c r="Z29" s="735">
        <v>4.4999999999999998E-2</v>
      </c>
      <c r="AA29" s="735">
        <v>0.05</v>
      </c>
      <c r="AB29" s="735">
        <v>0.04</v>
      </c>
      <c r="AC29" s="735">
        <v>0.03</v>
      </c>
      <c r="AD29" s="735">
        <v>3.5000000000000003E-2</v>
      </c>
      <c r="AE29" s="735">
        <v>2.5000000000000001E-2</v>
      </c>
      <c r="AF29" s="735">
        <v>1.4999999999999999E-2</v>
      </c>
    </row>
    <row r="30" spans="1:32" x14ac:dyDescent="0.2">
      <c r="A30" s="418"/>
      <c r="B30" s="418"/>
      <c r="C30" s="418"/>
      <c r="D30" s="418"/>
      <c r="E30" s="418"/>
      <c r="F30" s="418"/>
      <c r="G30" s="418"/>
      <c r="H30" s="418"/>
      <c r="I30" s="418"/>
      <c r="J30" s="418"/>
      <c r="K30" s="418"/>
      <c r="L30" s="418"/>
      <c r="M30" s="418"/>
      <c r="N30" s="418"/>
      <c r="O30" s="735"/>
      <c r="P30" s="735"/>
      <c r="Q30" s="735"/>
      <c r="R30" s="735"/>
      <c r="S30" s="735"/>
      <c r="T30" s="735"/>
      <c r="U30" s="735"/>
      <c r="V30" s="735"/>
      <c r="W30" s="735"/>
      <c r="X30" s="735"/>
      <c r="Y30" s="735"/>
      <c r="Z30" s="735"/>
    </row>
    <row r="31" spans="1:32" x14ac:dyDescent="0.2">
      <c r="A31" s="418" t="s">
        <v>681</v>
      </c>
      <c r="B31" s="418"/>
      <c r="C31" s="418"/>
      <c r="D31" s="523"/>
      <c r="E31" s="523"/>
      <c r="F31" s="418"/>
      <c r="G31" s="418"/>
      <c r="H31" s="418"/>
      <c r="I31" s="418"/>
      <c r="J31" s="418"/>
      <c r="K31" s="418"/>
      <c r="L31" s="418"/>
      <c r="M31" s="418"/>
      <c r="N31" s="418"/>
      <c r="O31" s="418"/>
      <c r="P31" s="418"/>
      <c r="Q31" s="418"/>
      <c r="R31" s="418"/>
      <c r="S31" s="418"/>
      <c r="T31" s="418"/>
      <c r="U31" s="418"/>
      <c r="V31" s="418"/>
      <c r="W31" s="418"/>
      <c r="X31" s="418"/>
      <c r="Y31" s="418"/>
      <c r="Z31" s="418"/>
    </row>
    <row r="32" spans="1:32" ht="15" x14ac:dyDescent="0.2">
      <c r="A32" s="418" t="s">
        <v>844</v>
      </c>
      <c r="B32" s="418"/>
      <c r="C32" s="418"/>
      <c r="D32" s="418"/>
      <c r="E32" s="418"/>
      <c r="F32" s="418"/>
      <c r="G32" s="418"/>
      <c r="H32" s="418"/>
      <c r="I32" s="418"/>
      <c r="J32" s="418"/>
      <c r="K32" s="418"/>
      <c r="L32" s="418"/>
      <c r="M32" s="418"/>
      <c r="N32" s="418"/>
      <c r="O32" s="418"/>
      <c r="P32" s="418"/>
      <c r="Q32" s="418"/>
      <c r="R32" s="418"/>
      <c r="S32" s="418"/>
      <c r="T32" s="418"/>
      <c r="U32" s="418"/>
      <c r="V32" s="418"/>
      <c r="W32" s="418"/>
      <c r="X32" s="418"/>
      <c r="Y32" s="418"/>
      <c r="Z32" s="418"/>
    </row>
    <row r="33" spans="1:8" ht="15" x14ac:dyDescent="0.2">
      <c r="A33" s="418" t="s">
        <v>845</v>
      </c>
      <c r="B33" s="740"/>
      <c r="C33" s="740"/>
      <c r="D33" s="740"/>
      <c r="E33" s="740"/>
      <c r="F33" s="740"/>
      <c r="G33" s="740"/>
      <c r="H33" s="740"/>
    </row>
    <row r="34" spans="1:8" x14ac:dyDescent="0.2">
      <c r="C34" s="741"/>
      <c r="D34" s="741"/>
      <c r="E34" s="741"/>
      <c r="F34" s="741"/>
      <c r="G34" s="512"/>
      <c r="H34" s="512"/>
    </row>
  </sheetData>
  <printOptions horizontalCentered="1"/>
  <pageMargins left="0.5" right="0.5" top="0.5" bottom="1" header="0.5" footer="0"/>
  <pageSetup orientation="landscape" r:id="rId1"/>
  <headerFooter alignWithMargins="0">
    <oddFooter>&amp;C&amp;P</oddFooter>
  </headerFooter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view="pageBreakPreview" zoomScaleNormal="100" zoomScaleSheetLayoutView="100" workbookViewId="0">
      <selection activeCell="E9" sqref="E9"/>
    </sheetView>
  </sheetViews>
  <sheetFormatPr defaultColWidth="9.140625" defaultRowHeight="12.75" x14ac:dyDescent="0.2"/>
  <cols>
    <col min="1" max="1" width="12.7109375" style="401" customWidth="1"/>
    <col min="2" max="4" width="3" style="832" customWidth="1"/>
    <col min="5" max="8" width="11.28515625" style="401" customWidth="1"/>
    <col min="9" max="10" width="9.7109375" style="401" customWidth="1"/>
    <col min="11" max="11" width="7.7109375" style="401" bestFit="1" customWidth="1"/>
    <col min="12" max="16384" width="9.140625" style="401"/>
  </cols>
  <sheetData>
    <row r="1" spans="1:11" ht="24.75" customHeight="1" thickBot="1" x14ac:dyDescent="0.3">
      <c r="A1" s="742" t="s">
        <v>846</v>
      </c>
      <c r="B1" s="743"/>
      <c r="C1" s="744"/>
      <c r="D1" s="744"/>
      <c r="E1" s="745"/>
      <c r="F1" s="745"/>
      <c r="G1" s="745"/>
      <c r="H1" s="745"/>
      <c r="I1" s="745"/>
      <c r="J1" s="745"/>
      <c r="K1" s="746"/>
    </row>
    <row r="2" spans="1:11" ht="15.75" x14ac:dyDescent="0.25">
      <c r="A2" s="747" t="s">
        <v>847</v>
      </c>
      <c r="B2" s="748"/>
      <c r="C2" s="748"/>
      <c r="D2" s="748"/>
      <c r="E2" s="749"/>
      <c r="F2" s="749"/>
      <c r="G2" s="749"/>
      <c r="H2" s="749"/>
      <c r="I2" s="749"/>
      <c r="J2" s="749"/>
      <c r="K2" s="749"/>
    </row>
    <row r="3" spans="1:11" x14ac:dyDescent="0.2">
      <c r="A3" s="750" t="s">
        <v>848</v>
      </c>
      <c r="B3" s="748"/>
      <c r="C3" s="748"/>
      <c r="D3" s="748"/>
      <c r="E3" s="749"/>
      <c r="F3" s="749"/>
      <c r="G3" s="749"/>
      <c r="H3" s="749"/>
      <c r="I3" s="749"/>
      <c r="J3" s="749"/>
      <c r="K3" s="749"/>
    </row>
    <row r="4" spans="1:11" ht="4.5" customHeight="1" thickBot="1" x14ac:dyDescent="0.35">
      <c r="A4" s="751"/>
      <c r="B4" s="751"/>
      <c r="C4" s="751"/>
      <c r="D4" s="752"/>
      <c r="E4" s="753"/>
      <c r="F4" s="753"/>
      <c r="G4" s="752"/>
      <c r="H4" s="751"/>
      <c r="I4" s="754"/>
      <c r="J4" s="755"/>
      <c r="K4" s="755"/>
    </row>
    <row r="5" spans="1:11" ht="15" x14ac:dyDescent="0.2">
      <c r="A5" s="756"/>
      <c r="B5" s="1119" t="s">
        <v>849</v>
      </c>
      <c r="C5" s="1120"/>
      <c r="D5" s="1121"/>
      <c r="E5" s="757" t="s">
        <v>850</v>
      </c>
      <c r="F5" s="757" t="s">
        <v>851</v>
      </c>
      <c r="G5" s="757" t="s">
        <v>851</v>
      </c>
      <c r="H5" s="757" t="s">
        <v>851</v>
      </c>
      <c r="I5" s="757" t="s">
        <v>852</v>
      </c>
      <c r="J5" s="758" t="s">
        <v>852</v>
      </c>
    </row>
    <row r="6" spans="1:11" ht="15" x14ac:dyDescent="0.2">
      <c r="A6" s="759" t="s">
        <v>59</v>
      </c>
      <c r="B6" s="1122" t="s">
        <v>853</v>
      </c>
      <c r="C6" s="1123"/>
      <c r="D6" s="1124"/>
      <c r="E6" s="760" t="s">
        <v>1</v>
      </c>
      <c r="F6" s="760" t="s">
        <v>854</v>
      </c>
      <c r="G6" s="760" t="s">
        <v>855</v>
      </c>
      <c r="H6" s="760" t="s">
        <v>856</v>
      </c>
      <c r="I6" s="760" t="s">
        <v>1</v>
      </c>
      <c r="J6" s="761" t="s">
        <v>1</v>
      </c>
    </row>
    <row r="7" spans="1:11" ht="14.25" customHeight="1" thickBot="1" x14ac:dyDescent="0.25">
      <c r="A7" s="762" t="s">
        <v>1</v>
      </c>
      <c r="B7" s="1116" t="s">
        <v>857</v>
      </c>
      <c r="C7" s="1117"/>
      <c r="D7" s="1118"/>
      <c r="E7" s="763" t="s">
        <v>858</v>
      </c>
      <c r="F7" s="763" t="s">
        <v>858</v>
      </c>
      <c r="G7" s="763" t="s">
        <v>858</v>
      </c>
      <c r="H7" s="763" t="s">
        <v>858</v>
      </c>
      <c r="I7" s="763" t="s">
        <v>859</v>
      </c>
      <c r="J7" s="764" t="s">
        <v>860</v>
      </c>
    </row>
    <row r="8" spans="1:11" ht="4.5" customHeight="1" x14ac:dyDescent="0.2">
      <c r="A8" s="759"/>
      <c r="B8" s="765"/>
      <c r="C8" s="766"/>
      <c r="D8" s="767"/>
      <c r="E8" s="768"/>
      <c r="F8" s="769"/>
      <c r="G8" s="769"/>
      <c r="H8" s="769"/>
      <c r="I8" s="770"/>
      <c r="J8" s="771"/>
    </row>
    <row r="9" spans="1:11" x14ac:dyDescent="0.2">
      <c r="A9" s="772" t="s">
        <v>144</v>
      </c>
      <c r="B9" s="773">
        <v>10</v>
      </c>
      <c r="C9" s="774" t="s">
        <v>861</v>
      </c>
      <c r="D9" s="775">
        <v>11</v>
      </c>
      <c r="E9" s="776">
        <v>8884</v>
      </c>
      <c r="F9" s="777">
        <v>7449</v>
      </c>
      <c r="G9" s="777">
        <v>19080</v>
      </c>
      <c r="H9" s="777">
        <v>12208.636363636364</v>
      </c>
      <c r="I9" s="778">
        <f>E9/G9</f>
        <v>0.46561844863731655</v>
      </c>
      <c r="J9" s="779">
        <f>E9/H9</f>
        <v>0.72768159648534936</v>
      </c>
    </row>
    <row r="10" spans="1:11" ht="4.5" customHeight="1" x14ac:dyDescent="0.2">
      <c r="A10" s="772"/>
      <c r="B10" s="773"/>
      <c r="C10" s="774"/>
      <c r="D10" s="775"/>
      <c r="E10" s="780"/>
      <c r="F10" s="781"/>
      <c r="G10" s="781"/>
      <c r="H10" s="781"/>
      <c r="I10" s="778"/>
      <c r="J10" s="779"/>
    </row>
    <row r="11" spans="1:11" x14ac:dyDescent="0.2">
      <c r="A11" s="782" t="s">
        <v>18</v>
      </c>
      <c r="B11" s="783">
        <v>8</v>
      </c>
      <c r="C11" s="784" t="s">
        <v>861</v>
      </c>
      <c r="D11" s="785">
        <v>11</v>
      </c>
      <c r="E11" s="786">
        <v>7175</v>
      </c>
      <c r="F11" s="787">
        <v>4443</v>
      </c>
      <c r="G11" s="786">
        <v>11395</v>
      </c>
      <c r="H11" s="787">
        <v>8455</v>
      </c>
      <c r="I11" s="788">
        <f>E11/G11</f>
        <v>0.62966213251426062</v>
      </c>
      <c r="J11" s="789">
        <f>E11/H11</f>
        <v>0.84861028976936725</v>
      </c>
    </row>
    <row r="12" spans="1:11" ht="4.5" customHeight="1" x14ac:dyDescent="0.2">
      <c r="A12" s="772"/>
      <c r="B12" s="773"/>
      <c r="C12" s="774"/>
      <c r="D12" s="775"/>
      <c r="E12" s="780"/>
      <c r="F12" s="781"/>
      <c r="G12" s="781"/>
      <c r="H12" s="781"/>
      <c r="I12" s="778"/>
      <c r="J12" s="779"/>
    </row>
    <row r="13" spans="1:11" x14ac:dyDescent="0.2">
      <c r="A13" s="772" t="s">
        <v>5</v>
      </c>
      <c r="B13" s="773">
        <v>10</v>
      </c>
      <c r="C13" s="774" t="s">
        <v>861</v>
      </c>
      <c r="D13" s="775">
        <v>11</v>
      </c>
      <c r="E13" s="780">
        <v>5712</v>
      </c>
      <c r="F13" s="781">
        <v>5652</v>
      </c>
      <c r="G13" s="781">
        <v>11564</v>
      </c>
      <c r="H13" s="781">
        <v>8109</v>
      </c>
      <c r="I13" s="778">
        <f>E13/G13</f>
        <v>0.49394673123486682</v>
      </c>
      <c r="J13" s="779">
        <f>E13/H13</f>
        <v>0.70440251572327039</v>
      </c>
    </row>
    <row r="14" spans="1:11" ht="4.5" customHeight="1" x14ac:dyDescent="0.2">
      <c r="A14" s="772"/>
      <c r="B14" s="773"/>
      <c r="C14" s="774"/>
      <c r="D14" s="775"/>
      <c r="E14" s="780"/>
      <c r="F14" s="781"/>
      <c r="G14" s="781"/>
      <c r="H14" s="781"/>
      <c r="I14" s="778"/>
      <c r="J14" s="779"/>
    </row>
    <row r="15" spans="1:11" x14ac:dyDescent="0.2">
      <c r="A15" s="782" t="s">
        <v>6</v>
      </c>
      <c r="B15" s="783">
        <v>10</v>
      </c>
      <c r="C15" s="784" t="s">
        <v>861</v>
      </c>
      <c r="D15" s="785">
        <v>11</v>
      </c>
      <c r="E15" s="786">
        <v>6676</v>
      </c>
      <c r="F15" s="787">
        <v>6134</v>
      </c>
      <c r="G15" s="786">
        <v>13654</v>
      </c>
      <c r="H15" s="787">
        <v>8601</v>
      </c>
      <c r="I15" s="788">
        <f>E15/G15</f>
        <v>0.48894096967921491</v>
      </c>
      <c r="J15" s="789">
        <f>E15/H15</f>
        <v>0.77618881525404027</v>
      </c>
    </row>
    <row r="16" spans="1:11" ht="4.5" customHeight="1" x14ac:dyDescent="0.2">
      <c r="A16" s="772"/>
      <c r="B16" s="773"/>
      <c r="C16" s="774"/>
      <c r="D16" s="775"/>
      <c r="E16" s="780"/>
      <c r="F16" s="781"/>
      <c r="G16" s="781"/>
      <c r="H16" s="781"/>
      <c r="I16" s="778"/>
      <c r="J16" s="779"/>
    </row>
    <row r="17" spans="1:11" x14ac:dyDescent="0.2">
      <c r="A17" s="772" t="s">
        <v>7</v>
      </c>
      <c r="B17" s="773">
        <v>7</v>
      </c>
      <c r="C17" s="774" t="s">
        <v>861</v>
      </c>
      <c r="D17" s="775">
        <v>10</v>
      </c>
      <c r="E17" s="780">
        <v>3692</v>
      </c>
      <c r="F17" s="781">
        <v>2115</v>
      </c>
      <c r="G17" s="781">
        <v>5102</v>
      </c>
      <c r="H17" s="781">
        <v>3955</v>
      </c>
      <c r="I17" s="778">
        <f>E17/G17</f>
        <v>0.7236377891023128</v>
      </c>
      <c r="J17" s="779">
        <f>E17/H17</f>
        <v>0.93350189633375469</v>
      </c>
    </row>
    <row r="18" spans="1:11" ht="4.5" customHeight="1" x14ac:dyDescent="0.2">
      <c r="A18" s="772"/>
      <c r="B18" s="773"/>
      <c r="C18" s="774"/>
      <c r="D18" s="775"/>
      <c r="E18" s="780"/>
      <c r="F18" s="781"/>
      <c r="G18" s="781"/>
      <c r="H18" s="781"/>
      <c r="I18" s="778"/>
      <c r="J18" s="779"/>
    </row>
    <row r="19" spans="1:11" x14ac:dyDescent="0.2">
      <c r="A19" s="790" t="s">
        <v>145</v>
      </c>
      <c r="B19" s="783">
        <v>11</v>
      </c>
      <c r="C19" s="784" t="s">
        <v>861</v>
      </c>
      <c r="D19" s="785">
        <v>11</v>
      </c>
      <c r="E19" s="786">
        <v>5080</v>
      </c>
      <c r="F19" s="787">
        <v>5080</v>
      </c>
      <c r="G19" s="786">
        <v>16350</v>
      </c>
      <c r="H19" s="787">
        <v>7759</v>
      </c>
      <c r="I19" s="788">
        <f>E19/G19</f>
        <v>0.31070336391437309</v>
      </c>
      <c r="J19" s="789">
        <f>E19/H19</f>
        <v>0.65472354684882073</v>
      </c>
    </row>
    <row r="20" spans="1:11" ht="4.5" customHeight="1" x14ac:dyDescent="0.2">
      <c r="A20" s="791"/>
      <c r="B20" s="773"/>
      <c r="C20" s="774"/>
      <c r="D20" s="775"/>
      <c r="E20" s="780"/>
      <c r="F20" s="781"/>
      <c r="G20" s="781"/>
      <c r="H20" s="781"/>
      <c r="I20" s="778"/>
      <c r="J20" s="779"/>
    </row>
    <row r="21" spans="1:11" s="424" customFormat="1" hidden="1" x14ac:dyDescent="0.2">
      <c r="A21" s="792" t="s">
        <v>862</v>
      </c>
      <c r="B21" s="773"/>
      <c r="C21" s="774" t="s">
        <v>861</v>
      </c>
      <c r="D21" s="775"/>
      <c r="E21" s="780"/>
      <c r="F21" s="781"/>
      <c r="G21" s="781"/>
      <c r="H21" s="781"/>
      <c r="I21" s="793"/>
      <c r="J21" s="794"/>
    </row>
    <row r="22" spans="1:11" s="424" customFormat="1" ht="4.5" hidden="1" customHeight="1" x14ac:dyDescent="0.2">
      <c r="A22" s="792"/>
      <c r="B22" s="773"/>
      <c r="C22" s="774"/>
      <c r="D22" s="775"/>
      <c r="E22" s="780"/>
      <c r="F22" s="781"/>
      <c r="G22" s="781"/>
      <c r="H22" s="781"/>
      <c r="I22" s="793"/>
      <c r="J22" s="794"/>
    </row>
    <row r="23" spans="1:11" x14ac:dyDescent="0.2">
      <c r="A23" s="795" t="s">
        <v>8</v>
      </c>
      <c r="B23" s="796">
        <v>11</v>
      </c>
      <c r="C23" s="797" t="s">
        <v>861</v>
      </c>
      <c r="D23" s="798">
        <v>11</v>
      </c>
      <c r="E23" s="780">
        <v>5652</v>
      </c>
      <c r="F23" s="799">
        <v>5652</v>
      </c>
      <c r="G23" s="780">
        <v>11564</v>
      </c>
      <c r="H23" s="799">
        <v>7657</v>
      </c>
      <c r="I23" s="778">
        <f>E23/G23</f>
        <v>0.48875821515046697</v>
      </c>
      <c r="J23" s="779">
        <f>E23/H23</f>
        <v>0.7381480997779809</v>
      </c>
    </row>
    <row r="24" spans="1:11" ht="4.5" customHeight="1" x14ac:dyDescent="0.2">
      <c r="A24" s="772"/>
      <c r="B24" s="773"/>
      <c r="C24" s="774"/>
      <c r="D24" s="775"/>
      <c r="E24" s="780"/>
      <c r="F24" s="781"/>
      <c r="G24" s="781"/>
      <c r="H24" s="781"/>
      <c r="I24" s="778"/>
      <c r="J24" s="779"/>
    </row>
    <row r="25" spans="1:11" x14ac:dyDescent="0.2">
      <c r="A25" s="800" t="s">
        <v>9</v>
      </c>
      <c r="B25" s="783">
        <v>4</v>
      </c>
      <c r="C25" s="784" t="s">
        <v>861</v>
      </c>
      <c r="D25" s="785">
        <v>11</v>
      </c>
      <c r="E25" s="786">
        <v>3781</v>
      </c>
      <c r="F25" s="787">
        <v>1104</v>
      </c>
      <c r="G25" s="786">
        <v>10890</v>
      </c>
      <c r="H25" s="787">
        <v>3835</v>
      </c>
      <c r="I25" s="788">
        <f>E25/G25</f>
        <v>0.34719926538108359</v>
      </c>
      <c r="J25" s="789">
        <f>E25/H25</f>
        <v>0.98591916558018255</v>
      </c>
    </row>
    <row r="26" spans="1:11" ht="4.5" customHeight="1" thickBot="1" x14ac:dyDescent="0.25">
      <c r="A26" s="801"/>
      <c r="B26" s="802"/>
      <c r="C26" s="803"/>
      <c r="D26" s="804"/>
      <c r="E26" s="805"/>
      <c r="F26" s="806"/>
      <c r="G26" s="806"/>
      <c r="H26" s="807"/>
      <c r="I26" s="808"/>
      <c r="J26" s="809"/>
    </row>
    <row r="27" spans="1:11" ht="11.25" customHeight="1" x14ac:dyDescent="0.2">
      <c r="A27" s="774"/>
      <c r="B27" s="810"/>
      <c r="C27" s="774"/>
      <c r="D27" s="774"/>
      <c r="E27" s="811"/>
      <c r="F27" s="774"/>
      <c r="G27" s="774"/>
      <c r="H27" s="812"/>
      <c r="I27" s="813"/>
      <c r="J27" s="813"/>
    </row>
    <row r="28" spans="1:11" ht="16.5" thickBot="1" x14ac:dyDescent="0.3">
      <c r="A28" s="742" t="s">
        <v>863</v>
      </c>
      <c r="B28" s="744"/>
      <c r="C28" s="744"/>
      <c r="D28" s="744"/>
      <c r="E28" s="745"/>
      <c r="F28" s="745"/>
      <c r="G28" s="745"/>
      <c r="H28" s="745"/>
      <c r="I28" s="745"/>
      <c r="J28" s="745"/>
      <c r="K28" s="746"/>
    </row>
    <row r="29" spans="1:11" ht="15.75" x14ac:dyDescent="0.25">
      <c r="A29" s="747" t="s">
        <v>847</v>
      </c>
      <c r="B29" s="814"/>
      <c r="C29" s="814"/>
      <c r="D29" s="814"/>
      <c r="E29" s="815"/>
      <c r="F29" s="815"/>
      <c r="G29" s="815"/>
      <c r="H29" s="815"/>
      <c r="I29" s="749"/>
      <c r="J29" s="749"/>
      <c r="K29" s="749"/>
    </row>
    <row r="30" spans="1:11" x14ac:dyDescent="0.2">
      <c r="A30" s="750" t="s">
        <v>864</v>
      </c>
      <c r="B30" s="814"/>
      <c r="C30" s="814"/>
      <c r="D30" s="814"/>
      <c r="E30" s="815"/>
      <c r="F30" s="815"/>
      <c r="G30" s="815"/>
      <c r="H30" s="815"/>
      <c r="I30" s="749"/>
      <c r="J30" s="749"/>
      <c r="K30" s="749"/>
    </row>
    <row r="31" spans="1:11" ht="4.5" customHeight="1" thickBot="1" x14ac:dyDescent="0.3">
      <c r="A31" s="816"/>
      <c r="B31" s="817"/>
      <c r="C31" s="817"/>
      <c r="D31" s="817"/>
      <c r="E31" s="818"/>
      <c r="F31" s="818"/>
      <c r="G31" s="818"/>
      <c r="H31" s="818"/>
      <c r="I31" s="818"/>
      <c r="J31" s="818"/>
      <c r="K31" s="818"/>
    </row>
    <row r="32" spans="1:11" ht="15" x14ac:dyDescent="0.2">
      <c r="A32" s="756"/>
      <c r="B32" s="1119" t="s">
        <v>849</v>
      </c>
      <c r="C32" s="1120"/>
      <c r="D32" s="1121"/>
      <c r="E32" s="757" t="s">
        <v>850</v>
      </c>
      <c r="F32" s="757" t="s">
        <v>851</v>
      </c>
      <c r="G32" s="757" t="s">
        <v>851</v>
      </c>
      <c r="H32" s="757" t="s">
        <v>851</v>
      </c>
      <c r="I32" s="757" t="s">
        <v>852</v>
      </c>
      <c r="J32" s="758" t="s">
        <v>852</v>
      </c>
    </row>
    <row r="33" spans="1:11" ht="15" x14ac:dyDescent="0.2">
      <c r="A33" s="759" t="s">
        <v>59</v>
      </c>
      <c r="B33" s="1122" t="s">
        <v>853</v>
      </c>
      <c r="C33" s="1123"/>
      <c r="D33" s="1124"/>
      <c r="E33" s="760" t="s">
        <v>1</v>
      </c>
      <c r="F33" s="760" t="s">
        <v>854</v>
      </c>
      <c r="G33" s="760" t="s">
        <v>855</v>
      </c>
      <c r="H33" s="760" t="s">
        <v>856</v>
      </c>
      <c r="I33" s="760" t="s">
        <v>1</v>
      </c>
      <c r="J33" s="761" t="s">
        <v>1</v>
      </c>
    </row>
    <row r="34" spans="1:11" ht="13.5" thickBot="1" x14ac:dyDescent="0.25">
      <c r="A34" s="762" t="s">
        <v>1</v>
      </c>
      <c r="B34" s="1116" t="s">
        <v>857</v>
      </c>
      <c r="C34" s="1117"/>
      <c r="D34" s="1118"/>
      <c r="E34" s="763" t="s">
        <v>858</v>
      </c>
      <c r="F34" s="763" t="s">
        <v>858</v>
      </c>
      <c r="G34" s="763" t="s">
        <v>858</v>
      </c>
      <c r="H34" s="763" t="s">
        <v>858</v>
      </c>
      <c r="I34" s="763" t="s">
        <v>859</v>
      </c>
      <c r="J34" s="764" t="s">
        <v>860</v>
      </c>
    </row>
    <row r="35" spans="1:11" ht="6" customHeight="1" x14ac:dyDescent="0.2">
      <c r="A35" s="759"/>
      <c r="B35" s="819"/>
      <c r="C35" s="766"/>
      <c r="D35" s="767"/>
      <c r="E35" s="768"/>
      <c r="F35" s="769"/>
      <c r="G35" s="769"/>
      <c r="H35" s="769"/>
      <c r="I35" s="770"/>
      <c r="J35" s="771"/>
    </row>
    <row r="36" spans="1:11" x14ac:dyDescent="0.2">
      <c r="A36" s="759" t="s">
        <v>144</v>
      </c>
      <c r="B36" s="773">
        <v>11</v>
      </c>
      <c r="C36" s="774" t="s">
        <v>861</v>
      </c>
      <c r="D36" s="775">
        <v>11</v>
      </c>
      <c r="E36" s="776">
        <v>7790</v>
      </c>
      <c r="F36" s="777">
        <v>7790</v>
      </c>
      <c r="G36" s="777">
        <v>23140</v>
      </c>
      <c r="H36" s="777">
        <v>14040</v>
      </c>
      <c r="I36" s="778">
        <f>E36/G36</f>
        <v>0.33664649956784787</v>
      </c>
      <c r="J36" s="779">
        <f>E36/H36</f>
        <v>0.5548433048433048</v>
      </c>
    </row>
    <row r="37" spans="1:11" ht="4.5" customHeight="1" x14ac:dyDescent="0.2">
      <c r="A37" s="759"/>
      <c r="B37" s="773"/>
      <c r="C37" s="774"/>
      <c r="D37" s="775"/>
      <c r="E37" s="780"/>
      <c r="F37" s="781"/>
      <c r="G37" s="781"/>
      <c r="H37" s="781"/>
      <c r="I37" s="778"/>
      <c r="J37" s="779"/>
    </row>
    <row r="38" spans="1:11" x14ac:dyDescent="0.2">
      <c r="A38" s="820" t="s">
        <v>18</v>
      </c>
      <c r="B38" s="783">
        <v>7</v>
      </c>
      <c r="C38" s="784" t="s">
        <v>861</v>
      </c>
      <c r="D38" s="785">
        <v>11</v>
      </c>
      <c r="E38" s="786">
        <v>6561</v>
      </c>
      <c r="F38" s="787">
        <v>5243</v>
      </c>
      <c r="G38" s="787">
        <v>14061</v>
      </c>
      <c r="H38" s="787">
        <v>8861</v>
      </c>
      <c r="I38" s="788">
        <f>E38/G38</f>
        <v>0.46660977170898227</v>
      </c>
      <c r="J38" s="789">
        <f>E38/H38</f>
        <v>0.74043561674754543</v>
      </c>
    </row>
    <row r="39" spans="1:11" ht="4.5" customHeight="1" x14ac:dyDescent="0.2">
      <c r="A39" s="759"/>
      <c r="B39" s="773"/>
      <c r="C39" s="774"/>
      <c r="D39" s="775"/>
      <c r="E39" s="780"/>
      <c r="F39" s="781"/>
      <c r="G39" s="781"/>
      <c r="H39" s="781"/>
      <c r="I39" s="778"/>
      <c r="J39" s="779"/>
    </row>
    <row r="40" spans="1:11" x14ac:dyDescent="0.2">
      <c r="A40" s="759" t="s">
        <v>5</v>
      </c>
      <c r="B40" s="773">
        <v>8</v>
      </c>
      <c r="C40" s="774" t="s">
        <v>861</v>
      </c>
      <c r="D40" s="775">
        <v>11</v>
      </c>
      <c r="E40" s="780">
        <v>8881</v>
      </c>
      <c r="F40" s="781">
        <v>7332</v>
      </c>
      <c r="G40" s="781">
        <v>17258</v>
      </c>
      <c r="H40" s="781">
        <v>10231</v>
      </c>
      <c r="I40" s="778">
        <f>E40/G40</f>
        <v>0.51460192374550928</v>
      </c>
      <c r="J40" s="779">
        <f>E40/H40</f>
        <v>0.86804808914084641</v>
      </c>
    </row>
    <row r="41" spans="1:11" ht="4.5" customHeight="1" x14ac:dyDescent="0.2">
      <c r="A41" s="759"/>
      <c r="B41" s="773"/>
      <c r="C41" s="774"/>
      <c r="D41" s="775"/>
      <c r="E41" s="780"/>
      <c r="F41" s="781"/>
      <c r="G41" s="781"/>
      <c r="H41" s="781"/>
      <c r="I41" s="778"/>
      <c r="J41" s="779"/>
    </row>
    <row r="42" spans="1:11" x14ac:dyDescent="0.2">
      <c r="A42" s="820" t="s">
        <v>6</v>
      </c>
      <c r="B42" s="783">
        <v>8</v>
      </c>
      <c r="C42" s="784" t="s">
        <v>861</v>
      </c>
      <c r="D42" s="785">
        <v>11</v>
      </c>
      <c r="E42" s="786">
        <v>8220</v>
      </c>
      <c r="F42" s="787">
        <v>7206</v>
      </c>
      <c r="G42" s="787">
        <v>17016</v>
      </c>
      <c r="H42" s="787">
        <v>9979</v>
      </c>
      <c r="I42" s="788">
        <f>E42/G42</f>
        <v>0.48307475317348381</v>
      </c>
      <c r="J42" s="789">
        <f>E42/H42</f>
        <v>0.82372983264856203</v>
      </c>
    </row>
    <row r="43" spans="1:11" ht="4.5" customHeight="1" x14ac:dyDescent="0.2">
      <c r="A43" s="759"/>
      <c r="B43" s="773"/>
      <c r="C43" s="774"/>
      <c r="D43" s="775"/>
      <c r="E43" s="780"/>
      <c r="F43" s="781"/>
      <c r="G43" s="781"/>
      <c r="H43" s="781"/>
      <c r="I43" s="778"/>
      <c r="J43" s="779"/>
    </row>
    <row r="44" spans="1:11" x14ac:dyDescent="0.2">
      <c r="A44" s="759" t="s">
        <v>8</v>
      </c>
      <c r="B44" s="773">
        <v>2</v>
      </c>
      <c r="C44" s="774" t="s">
        <v>861</v>
      </c>
      <c r="D44" s="775">
        <v>11</v>
      </c>
      <c r="E44" s="780">
        <v>10583</v>
      </c>
      <c r="F44" s="781">
        <v>6161</v>
      </c>
      <c r="G44" s="781">
        <v>10896</v>
      </c>
      <c r="H44" s="781">
        <v>8711</v>
      </c>
      <c r="I44" s="778">
        <f>E44/G44</f>
        <v>0.97127386196769461</v>
      </c>
      <c r="J44" s="779">
        <f>E44/H44</f>
        <v>1.214900700264034</v>
      </c>
    </row>
    <row r="45" spans="1:11" ht="4.5" customHeight="1" thickBot="1" x14ac:dyDescent="0.25">
      <c r="A45" s="762"/>
      <c r="B45" s="821"/>
      <c r="C45" s="803"/>
      <c r="D45" s="804"/>
      <c r="E45" s="822"/>
      <c r="F45" s="823"/>
      <c r="G45" s="823"/>
      <c r="H45" s="823"/>
      <c r="I45" s="824"/>
      <c r="J45" s="825"/>
    </row>
    <row r="46" spans="1:11" ht="4.5" customHeight="1" x14ac:dyDescent="0.2">
      <c r="A46" s="826"/>
      <c r="B46" s="766"/>
      <c r="C46" s="766"/>
      <c r="D46" s="766"/>
      <c r="E46" s="826"/>
      <c r="F46" s="826"/>
      <c r="G46" s="826"/>
      <c r="H46" s="826"/>
      <c r="I46" s="826"/>
      <c r="J46" s="813"/>
      <c r="K46" s="813"/>
    </row>
    <row r="47" spans="1:11" ht="16.5" x14ac:dyDescent="0.3">
      <c r="A47" s="746" t="s">
        <v>865</v>
      </c>
      <c r="B47" s="827"/>
      <c r="C47" s="827"/>
      <c r="D47" s="827"/>
      <c r="E47" s="828"/>
      <c r="F47" s="828"/>
      <c r="G47" s="829"/>
      <c r="H47" s="829"/>
      <c r="I47" s="818"/>
      <c r="J47" s="818"/>
      <c r="K47" s="818"/>
    </row>
    <row r="48" spans="1:11" ht="16.5" x14ac:dyDescent="0.3">
      <c r="A48" s="746" t="s">
        <v>866</v>
      </c>
      <c r="B48" s="830"/>
      <c r="C48" s="830"/>
      <c r="D48" s="827"/>
      <c r="E48" s="828"/>
      <c r="F48" s="828"/>
      <c r="G48" s="829"/>
      <c r="H48" s="829"/>
      <c r="I48" s="818"/>
      <c r="J48" s="818"/>
      <c r="K48" s="818"/>
    </row>
    <row r="49" spans="1:1" ht="15" x14ac:dyDescent="0.2">
      <c r="A49" s="831" t="s">
        <v>867</v>
      </c>
    </row>
    <row r="50" spans="1:1" ht="15" x14ac:dyDescent="0.2">
      <c r="A50" s="831" t="s">
        <v>868</v>
      </c>
    </row>
    <row r="51" spans="1:1" ht="15" x14ac:dyDescent="0.2">
      <c r="A51" s="831" t="s">
        <v>869</v>
      </c>
    </row>
    <row r="52" spans="1:1" x14ac:dyDescent="0.2">
      <c r="A52" s="401" t="s">
        <v>119</v>
      </c>
    </row>
  </sheetData>
  <mergeCells count="6">
    <mergeCell ref="B34:D34"/>
    <mergeCell ref="B5:D5"/>
    <mergeCell ref="B6:D6"/>
    <mergeCell ref="B7:D7"/>
    <mergeCell ref="B32:D32"/>
    <mergeCell ref="B33:D33"/>
  </mergeCells>
  <pageMargins left="0.6" right="0" top="0" bottom="0" header="0.5" footer="0"/>
  <pageSetup scale="95" orientation="portrait" r:id="rId1"/>
  <headerFooter alignWithMargins="0">
    <oddFooter>&amp;C&amp;P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view="pageBreakPreview" zoomScaleNormal="100" zoomScaleSheetLayoutView="100" workbookViewId="0">
      <selection activeCell="I9" sqref="I9"/>
    </sheetView>
  </sheetViews>
  <sheetFormatPr defaultColWidth="9.140625" defaultRowHeight="12.75" x14ac:dyDescent="0.2"/>
  <cols>
    <col min="1" max="1" width="12.7109375" style="401" customWidth="1"/>
    <col min="2" max="4" width="3" style="832" customWidth="1"/>
    <col min="5" max="8" width="11.28515625" style="401" customWidth="1"/>
    <col min="9" max="10" width="9.7109375" style="401" customWidth="1"/>
    <col min="11" max="11" width="7.7109375" style="401" bestFit="1" customWidth="1"/>
    <col min="12" max="16384" width="9.140625" style="401"/>
  </cols>
  <sheetData>
    <row r="1" spans="1:12" ht="24.75" customHeight="1" thickBot="1" x14ac:dyDescent="0.3">
      <c r="A1" s="742" t="s">
        <v>870</v>
      </c>
      <c r="B1" s="743"/>
      <c r="C1" s="744"/>
      <c r="D1" s="744"/>
      <c r="E1" s="745"/>
      <c r="F1" s="745"/>
      <c r="G1" s="745"/>
      <c r="H1" s="745"/>
      <c r="I1" s="745"/>
      <c r="J1" s="745"/>
      <c r="K1" s="746"/>
      <c r="L1" s="746"/>
    </row>
    <row r="2" spans="1:12" ht="15.75" x14ac:dyDescent="0.25">
      <c r="A2" s="747" t="s">
        <v>847</v>
      </c>
      <c r="B2" s="748"/>
      <c r="C2" s="748"/>
      <c r="D2" s="748"/>
      <c r="E2" s="749"/>
      <c r="F2" s="749"/>
      <c r="G2" s="749"/>
      <c r="H2" s="749"/>
      <c r="I2" s="749"/>
      <c r="J2" s="749"/>
      <c r="K2" s="749"/>
    </row>
    <row r="3" spans="1:12" x14ac:dyDescent="0.2">
      <c r="A3" s="750" t="s">
        <v>871</v>
      </c>
      <c r="B3" s="748"/>
      <c r="C3" s="748"/>
      <c r="D3" s="748"/>
      <c r="E3" s="749"/>
      <c r="F3" s="749"/>
      <c r="G3" s="749"/>
      <c r="H3" s="749"/>
      <c r="I3" s="749"/>
      <c r="J3" s="749"/>
      <c r="K3" s="749"/>
    </row>
    <row r="4" spans="1:12" ht="4.5" customHeight="1" thickBot="1" x14ac:dyDescent="0.35">
      <c r="A4" s="833"/>
      <c r="B4" s="827"/>
      <c r="C4" s="827"/>
      <c r="D4" s="827"/>
      <c r="E4" s="828"/>
      <c r="F4" s="828"/>
      <c r="G4" s="829"/>
      <c r="H4" s="829"/>
      <c r="I4" s="818"/>
      <c r="J4" s="818"/>
      <c r="K4" s="829"/>
    </row>
    <row r="5" spans="1:12" ht="15" x14ac:dyDescent="0.2">
      <c r="A5" s="756"/>
      <c r="B5" s="1119" t="s">
        <v>849</v>
      </c>
      <c r="C5" s="1120"/>
      <c r="D5" s="1121"/>
      <c r="E5" s="757" t="s">
        <v>850</v>
      </c>
      <c r="F5" s="757" t="s">
        <v>851</v>
      </c>
      <c r="G5" s="757" t="s">
        <v>851</v>
      </c>
      <c r="H5" s="757" t="s">
        <v>851</v>
      </c>
      <c r="I5" s="757" t="s">
        <v>852</v>
      </c>
      <c r="J5" s="758" t="s">
        <v>852</v>
      </c>
    </row>
    <row r="6" spans="1:12" ht="15" x14ac:dyDescent="0.2">
      <c r="A6" s="759" t="s">
        <v>59</v>
      </c>
      <c r="B6" s="1122" t="s">
        <v>853</v>
      </c>
      <c r="C6" s="1123"/>
      <c r="D6" s="1124"/>
      <c r="E6" s="760" t="s">
        <v>1</v>
      </c>
      <c r="F6" s="760" t="s">
        <v>854</v>
      </c>
      <c r="G6" s="760" t="s">
        <v>855</v>
      </c>
      <c r="H6" s="760" t="s">
        <v>856</v>
      </c>
      <c r="I6" s="760" t="s">
        <v>1</v>
      </c>
      <c r="J6" s="761" t="s">
        <v>1</v>
      </c>
    </row>
    <row r="7" spans="1:12" ht="14.25" customHeight="1" thickBot="1" x14ac:dyDescent="0.25">
      <c r="A7" s="762" t="s">
        <v>1</v>
      </c>
      <c r="B7" s="1116" t="s">
        <v>857</v>
      </c>
      <c r="C7" s="1117"/>
      <c r="D7" s="1118"/>
      <c r="E7" s="763" t="s">
        <v>858</v>
      </c>
      <c r="F7" s="763" t="s">
        <v>858</v>
      </c>
      <c r="G7" s="763" t="s">
        <v>858</v>
      </c>
      <c r="H7" s="763" t="s">
        <v>858</v>
      </c>
      <c r="I7" s="763" t="s">
        <v>859</v>
      </c>
      <c r="J7" s="764" t="s">
        <v>860</v>
      </c>
    </row>
    <row r="8" spans="1:12" ht="4.5" customHeight="1" x14ac:dyDescent="0.2">
      <c r="A8" s="759"/>
      <c r="B8" s="819"/>
      <c r="C8" s="766"/>
      <c r="D8" s="767"/>
      <c r="E8" s="768"/>
      <c r="F8" s="769"/>
      <c r="G8" s="769"/>
      <c r="H8" s="769"/>
      <c r="I8" s="770"/>
      <c r="J8" s="771"/>
    </row>
    <row r="9" spans="1:12" x14ac:dyDescent="0.2">
      <c r="A9" s="772" t="s">
        <v>144</v>
      </c>
      <c r="B9" s="773">
        <v>8</v>
      </c>
      <c r="C9" s="774" t="s">
        <v>861</v>
      </c>
      <c r="D9" s="775">
        <v>11</v>
      </c>
      <c r="E9" s="776">
        <v>28127</v>
      </c>
      <c r="F9" s="777">
        <v>22038</v>
      </c>
      <c r="G9" s="777">
        <v>47650</v>
      </c>
      <c r="H9" s="777">
        <v>33158</v>
      </c>
      <c r="I9" s="778">
        <f>E9/G9</f>
        <v>0.59028331584470095</v>
      </c>
      <c r="J9" s="779">
        <f>E9/H9</f>
        <v>0.84827191024790394</v>
      </c>
    </row>
    <row r="10" spans="1:12" ht="4.5" customHeight="1" x14ac:dyDescent="0.2">
      <c r="A10" s="772"/>
      <c r="B10" s="773"/>
      <c r="C10" s="774"/>
      <c r="D10" s="775"/>
      <c r="E10" s="780"/>
      <c r="F10" s="781"/>
      <c r="G10" s="781"/>
      <c r="H10" s="781"/>
      <c r="I10" s="778"/>
      <c r="J10" s="779"/>
    </row>
    <row r="11" spans="1:12" x14ac:dyDescent="0.2">
      <c r="A11" s="782" t="s">
        <v>18</v>
      </c>
      <c r="B11" s="783">
        <v>10</v>
      </c>
      <c r="C11" s="784" t="s">
        <v>861</v>
      </c>
      <c r="D11" s="785">
        <v>11</v>
      </c>
      <c r="E11" s="786">
        <v>20727</v>
      </c>
      <c r="F11" s="787">
        <v>13731</v>
      </c>
      <c r="G11" s="786">
        <v>29457</v>
      </c>
      <c r="H11" s="787">
        <v>23532</v>
      </c>
      <c r="I11" s="788">
        <f>E11/G11</f>
        <v>0.70363580812710047</v>
      </c>
      <c r="J11" s="789">
        <f>E11/H11</f>
        <v>0.88080061193268744</v>
      </c>
    </row>
    <row r="12" spans="1:12" ht="4.5" customHeight="1" x14ac:dyDescent="0.2">
      <c r="A12" s="772"/>
      <c r="B12" s="773"/>
      <c r="C12" s="774"/>
      <c r="D12" s="775"/>
      <c r="E12" s="780"/>
      <c r="F12" s="781"/>
      <c r="G12" s="781"/>
      <c r="H12" s="781"/>
      <c r="I12" s="834"/>
      <c r="J12" s="835"/>
    </row>
    <row r="13" spans="1:12" x14ac:dyDescent="0.2">
      <c r="A13" s="772" t="s">
        <v>5</v>
      </c>
      <c r="B13" s="773">
        <v>9</v>
      </c>
      <c r="C13" s="774" t="s">
        <v>861</v>
      </c>
      <c r="D13" s="775">
        <v>11</v>
      </c>
      <c r="E13" s="780">
        <v>15260</v>
      </c>
      <c r="F13" s="781">
        <v>7922</v>
      </c>
      <c r="G13" s="781">
        <v>22642</v>
      </c>
      <c r="H13" s="781">
        <v>16483</v>
      </c>
      <c r="I13" s="778">
        <f>E13/G13</f>
        <v>0.67396873067750196</v>
      </c>
      <c r="J13" s="779">
        <f>E13/H13</f>
        <v>0.92580234180670995</v>
      </c>
    </row>
    <row r="14" spans="1:12" ht="4.5" customHeight="1" x14ac:dyDescent="0.2">
      <c r="A14" s="772"/>
      <c r="B14" s="773"/>
      <c r="C14" s="774"/>
      <c r="D14" s="775"/>
      <c r="E14" s="780"/>
      <c r="F14" s="781"/>
      <c r="G14" s="781"/>
      <c r="H14" s="781"/>
      <c r="I14" s="834"/>
      <c r="J14" s="835"/>
    </row>
    <row r="15" spans="1:12" x14ac:dyDescent="0.2">
      <c r="A15" s="782" t="s">
        <v>6</v>
      </c>
      <c r="B15" s="783">
        <v>6</v>
      </c>
      <c r="C15" s="784" t="s">
        <v>861</v>
      </c>
      <c r="D15" s="785">
        <v>11</v>
      </c>
      <c r="E15" s="786">
        <v>20288</v>
      </c>
      <c r="F15" s="787">
        <v>14440</v>
      </c>
      <c r="G15" s="786">
        <v>28060</v>
      </c>
      <c r="H15" s="787">
        <v>21082</v>
      </c>
      <c r="I15" s="788">
        <f>E15/G15</f>
        <v>0.72302209550962226</v>
      </c>
      <c r="J15" s="789">
        <f>E15/H15</f>
        <v>0.96233753913290954</v>
      </c>
    </row>
    <row r="16" spans="1:12" ht="4.5" customHeight="1" x14ac:dyDescent="0.2">
      <c r="A16" s="772"/>
      <c r="B16" s="773"/>
      <c r="C16" s="774"/>
      <c r="D16" s="775"/>
      <c r="E16" s="780"/>
      <c r="F16" s="781"/>
      <c r="G16" s="781"/>
      <c r="H16" s="781"/>
      <c r="I16" s="834"/>
      <c r="J16" s="835"/>
    </row>
    <row r="17" spans="1:10" x14ac:dyDescent="0.2">
      <c r="A17" s="772" t="s">
        <v>7</v>
      </c>
      <c r="B17" s="773">
        <v>1</v>
      </c>
      <c r="C17" s="774" t="s">
        <v>861</v>
      </c>
      <c r="D17" s="775">
        <v>10</v>
      </c>
      <c r="E17" s="780">
        <v>12382</v>
      </c>
      <c r="F17" s="781">
        <v>4605</v>
      </c>
      <c r="G17" s="781">
        <v>12382</v>
      </c>
      <c r="H17" s="781">
        <v>8568</v>
      </c>
      <c r="I17" s="778">
        <f>E17/G17</f>
        <v>1</v>
      </c>
      <c r="J17" s="779">
        <f>E17/H17</f>
        <v>1.4451447245564892</v>
      </c>
    </row>
    <row r="18" spans="1:10" ht="4.5" customHeight="1" x14ac:dyDescent="0.2">
      <c r="A18" s="772"/>
      <c r="B18" s="773"/>
      <c r="C18" s="774"/>
      <c r="D18" s="775"/>
      <c r="E18" s="780"/>
      <c r="F18" s="781"/>
      <c r="G18" s="781"/>
      <c r="H18" s="781"/>
      <c r="I18" s="778"/>
      <c r="J18" s="779"/>
    </row>
    <row r="19" spans="1:10" x14ac:dyDescent="0.2">
      <c r="A19" s="790" t="s">
        <v>145</v>
      </c>
      <c r="B19" s="783">
        <v>6</v>
      </c>
      <c r="C19" s="784" t="s">
        <v>861</v>
      </c>
      <c r="D19" s="785">
        <v>11</v>
      </c>
      <c r="E19" s="786">
        <v>14548</v>
      </c>
      <c r="F19" s="787">
        <v>11568</v>
      </c>
      <c r="G19" s="786">
        <v>24630</v>
      </c>
      <c r="H19" s="787">
        <v>17227</v>
      </c>
      <c r="I19" s="788">
        <f>E19/G19</f>
        <v>0.59066179455948031</v>
      </c>
      <c r="J19" s="789">
        <f>E19/H19</f>
        <v>0.8444883032449062</v>
      </c>
    </row>
    <row r="20" spans="1:10" ht="4.5" customHeight="1" x14ac:dyDescent="0.2">
      <c r="A20" s="791"/>
      <c r="B20" s="773"/>
      <c r="C20" s="774"/>
      <c r="D20" s="775"/>
      <c r="E20" s="780"/>
      <c r="F20" s="781"/>
      <c r="G20" s="781"/>
      <c r="H20" s="781"/>
      <c r="I20" s="778"/>
      <c r="J20" s="779"/>
    </row>
    <row r="21" spans="1:10" hidden="1" x14ac:dyDescent="0.2">
      <c r="A21" s="792" t="s">
        <v>862</v>
      </c>
      <c r="B21" s="773"/>
      <c r="C21" s="774" t="s">
        <v>861</v>
      </c>
      <c r="D21" s="775">
        <v>2</v>
      </c>
      <c r="E21" s="780"/>
      <c r="F21" s="781"/>
      <c r="G21" s="781"/>
      <c r="H21" s="781"/>
      <c r="I21" s="793"/>
      <c r="J21" s="794"/>
    </row>
    <row r="22" spans="1:10" ht="4.5" hidden="1" customHeight="1" x14ac:dyDescent="0.2">
      <c r="A22" s="792"/>
      <c r="B22" s="773"/>
      <c r="C22" s="774"/>
      <c r="D22" s="775"/>
      <c r="E22" s="780"/>
      <c r="F22" s="781"/>
      <c r="G22" s="781"/>
      <c r="H22" s="781"/>
      <c r="I22" s="793"/>
      <c r="J22" s="794"/>
    </row>
    <row r="23" spans="1:10" x14ac:dyDescent="0.2">
      <c r="A23" s="795" t="s">
        <v>8</v>
      </c>
      <c r="B23" s="796">
        <v>9</v>
      </c>
      <c r="C23" s="797" t="s">
        <v>861</v>
      </c>
      <c r="D23" s="798">
        <v>11</v>
      </c>
      <c r="E23" s="780">
        <v>16066</v>
      </c>
      <c r="F23" s="799">
        <v>8811</v>
      </c>
      <c r="G23" s="780">
        <v>22642</v>
      </c>
      <c r="H23" s="799">
        <v>17835</v>
      </c>
      <c r="I23" s="778">
        <f>E23/G23</f>
        <v>0.70956629273032412</v>
      </c>
      <c r="J23" s="779">
        <f>E23/H23</f>
        <v>0.90081300813008125</v>
      </c>
    </row>
    <row r="24" spans="1:10" ht="4.5" customHeight="1" x14ac:dyDescent="0.2">
      <c r="A24" s="772"/>
      <c r="B24" s="773"/>
      <c r="C24" s="774"/>
      <c r="D24" s="775"/>
      <c r="E24" s="780"/>
      <c r="F24" s="781"/>
      <c r="G24" s="781"/>
      <c r="H24" s="781"/>
      <c r="I24" s="778"/>
      <c r="J24" s="779"/>
    </row>
    <row r="25" spans="1:10" x14ac:dyDescent="0.2">
      <c r="A25" s="800" t="s">
        <v>9</v>
      </c>
      <c r="B25" s="783">
        <v>2</v>
      </c>
      <c r="C25" s="784" t="s">
        <v>861</v>
      </c>
      <c r="D25" s="785">
        <v>11</v>
      </c>
      <c r="E25" s="786">
        <v>12020</v>
      </c>
      <c r="F25" s="787">
        <v>6948</v>
      </c>
      <c r="G25" s="786">
        <v>13080</v>
      </c>
      <c r="H25" s="787">
        <v>9027</v>
      </c>
      <c r="I25" s="788">
        <f>E25/G25</f>
        <v>0.91896024464831805</v>
      </c>
      <c r="J25" s="789">
        <f>E25/H25</f>
        <v>1.3315608729367454</v>
      </c>
    </row>
    <row r="26" spans="1:10" ht="4.5" customHeight="1" thickBot="1" x14ac:dyDescent="0.25">
      <c r="A26" s="836"/>
      <c r="B26" s="821"/>
      <c r="C26" s="803"/>
      <c r="D26" s="804"/>
      <c r="E26" s="837"/>
      <c r="F26" s="838"/>
      <c r="G26" s="838"/>
      <c r="H26" s="838"/>
      <c r="I26" s="839"/>
      <c r="J26" s="840"/>
    </row>
    <row r="27" spans="1:10" ht="11.25" customHeight="1" x14ac:dyDescent="0.2">
      <c r="A27" s="841"/>
      <c r="B27" s="774"/>
      <c r="C27" s="774"/>
      <c r="D27" s="774"/>
      <c r="E27" s="842"/>
      <c r="F27" s="841"/>
      <c r="G27" s="841"/>
      <c r="H27" s="841"/>
      <c r="I27" s="843"/>
      <c r="J27" s="843"/>
    </row>
    <row r="28" spans="1:10" s="418" customFormat="1" ht="17.25" thickBot="1" x14ac:dyDescent="0.35">
      <c r="A28" s="742" t="s">
        <v>872</v>
      </c>
      <c r="B28" s="844"/>
      <c r="C28" s="844"/>
      <c r="D28" s="845"/>
      <c r="E28" s="846"/>
      <c r="F28" s="847"/>
      <c r="G28" s="847"/>
      <c r="H28" s="847"/>
      <c r="I28" s="848"/>
      <c r="J28" s="848"/>
    </row>
    <row r="29" spans="1:10" ht="16.5" x14ac:dyDescent="0.3">
      <c r="A29" s="747" t="s">
        <v>847</v>
      </c>
      <c r="B29" s="849"/>
      <c r="C29" s="849"/>
      <c r="D29" s="850"/>
      <c r="E29" s="851"/>
      <c r="F29" s="852"/>
      <c r="G29" s="852"/>
      <c r="H29" s="852"/>
      <c r="I29" s="853"/>
      <c r="J29" s="853"/>
    </row>
    <row r="30" spans="1:10" ht="15" customHeight="1" x14ac:dyDescent="0.3">
      <c r="A30" s="750" t="s">
        <v>873</v>
      </c>
      <c r="B30" s="751"/>
      <c r="C30" s="751"/>
      <c r="D30" s="751"/>
      <c r="E30" s="854"/>
      <c r="F30" s="855"/>
      <c r="G30" s="855"/>
      <c r="H30" s="855"/>
      <c r="I30" s="856"/>
      <c r="J30" s="856"/>
    </row>
    <row r="31" spans="1:10" ht="4.5" customHeight="1" thickBot="1" x14ac:dyDescent="0.35">
      <c r="A31" s="857"/>
      <c r="B31" s="751"/>
      <c r="C31" s="751"/>
      <c r="D31" s="751"/>
      <c r="E31" s="854"/>
      <c r="F31" s="855"/>
      <c r="G31" s="855"/>
      <c r="H31" s="855"/>
      <c r="I31" s="856"/>
      <c r="J31" s="856"/>
    </row>
    <row r="32" spans="1:10" ht="15" x14ac:dyDescent="0.2">
      <c r="A32" s="756"/>
      <c r="B32" s="1119" t="s">
        <v>849</v>
      </c>
      <c r="C32" s="1120"/>
      <c r="D32" s="1121"/>
      <c r="E32" s="757" t="s">
        <v>850</v>
      </c>
      <c r="F32" s="757" t="s">
        <v>851</v>
      </c>
      <c r="G32" s="757" t="s">
        <v>851</v>
      </c>
      <c r="H32" s="757" t="s">
        <v>851</v>
      </c>
      <c r="I32" s="757" t="s">
        <v>852</v>
      </c>
      <c r="J32" s="758" t="s">
        <v>852</v>
      </c>
    </row>
    <row r="33" spans="1:11" ht="15" x14ac:dyDescent="0.2">
      <c r="A33" s="759" t="s">
        <v>59</v>
      </c>
      <c r="B33" s="1122" t="s">
        <v>853</v>
      </c>
      <c r="C33" s="1123"/>
      <c r="D33" s="1124"/>
      <c r="E33" s="760" t="s">
        <v>1</v>
      </c>
      <c r="F33" s="760" t="s">
        <v>854</v>
      </c>
      <c r="G33" s="760" t="s">
        <v>855</v>
      </c>
      <c r="H33" s="760" t="s">
        <v>856</v>
      </c>
      <c r="I33" s="760" t="s">
        <v>1</v>
      </c>
      <c r="J33" s="761" t="s">
        <v>1</v>
      </c>
    </row>
    <row r="34" spans="1:11" ht="13.5" thickBot="1" x14ac:dyDescent="0.25">
      <c r="A34" s="762" t="s">
        <v>1</v>
      </c>
      <c r="B34" s="1116" t="s">
        <v>857</v>
      </c>
      <c r="C34" s="1117"/>
      <c r="D34" s="1118"/>
      <c r="E34" s="763" t="s">
        <v>858</v>
      </c>
      <c r="F34" s="763" t="s">
        <v>858</v>
      </c>
      <c r="G34" s="763" t="s">
        <v>858</v>
      </c>
      <c r="H34" s="763" t="s">
        <v>858</v>
      </c>
      <c r="I34" s="763" t="s">
        <v>859</v>
      </c>
      <c r="J34" s="764" t="s">
        <v>860</v>
      </c>
    </row>
    <row r="35" spans="1:11" ht="4.5" customHeight="1" x14ac:dyDescent="0.2">
      <c r="A35" s="759"/>
      <c r="B35" s="819"/>
      <c r="C35" s="766"/>
      <c r="D35" s="767"/>
      <c r="E35" s="768"/>
      <c r="F35" s="769"/>
      <c r="G35" s="769"/>
      <c r="H35" s="769"/>
      <c r="I35" s="778"/>
      <c r="J35" s="779"/>
    </row>
    <row r="36" spans="1:11" s="405" customFormat="1" x14ac:dyDescent="0.2">
      <c r="A36" s="772" t="s">
        <v>144</v>
      </c>
      <c r="B36" s="773">
        <v>10</v>
      </c>
      <c r="C36" s="774" t="s">
        <v>861</v>
      </c>
      <c r="D36" s="775">
        <v>11</v>
      </c>
      <c r="E36" s="776">
        <v>24805</v>
      </c>
      <c r="F36" s="777">
        <v>23599</v>
      </c>
      <c r="G36" s="777">
        <v>37830</v>
      </c>
      <c r="H36" s="777">
        <v>28451</v>
      </c>
      <c r="I36" s="778">
        <f>E36/G36</f>
        <v>0.65569653713983611</v>
      </c>
      <c r="J36" s="779">
        <f>E36/H36</f>
        <v>0.87184984710554991</v>
      </c>
    </row>
    <row r="37" spans="1:11" s="405" customFormat="1" ht="4.5" customHeight="1" x14ac:dyDescent="0.2">
      <c r="A37" s="772"/>
      <c r="B37" s="773"/>
      <c r="C37" s="774"/>
      <c r="D37" s="775"/>
      <c r="E37" s="780"/>
      <c r="F37" s="781"/>
      <c r="G37" s="781"/>
      <c r="H37" s="781"/>
      <c r="I37" s="778"/>
      <c r="J37" s="779"/>
    </row>
    <row r="38" spans="1:11" s="405" customFormat="1" x14ac:dyDescent="0.2">
      <c r="A38" s="782" t="s">
        <v>18</v>
      </c>
      <c r="B38" s="783">
        <v>7</v>
      </c>
      <c r="C38" s="784" t="s">
        <v>861</v>
      </c>
      <c r="D38" s="785">
        <v>11</v>
      </c>
      <c r="E38" s="786">
        <v>20535</v>
      </c>
      <c r="F38" s="787">
        <v>14847</v>
      </c>
      <c r="G38" s="787">
        <v>26430</v>
      </c>
      <c r="H38" s="787">
        <v>21783</v>
      </c>
      <c r="I38" s="788">
        <f>E38/G38</f>
        <v>0.77695800227014755</v>
      </c>
      <c r="J38" s="789">
        <f>E38/H38</f>
        <v>0.94270761603084974</v>
      </c>
    </row>
    <row r="39" spans="1:11" s="405" customFormat="1" ht="6" customHeight="1" x14ac:dyDescent="0.2">
      <c r="A39" s="772"/>
      <c r="B39" s="773"/>
      <c r="C39" s="774"/>
      <c r="D39" s="775"/>
      <c r="E39" s="780"/>
      <c r="F39" s="781"/>
      <c r="G39" s="781"/>
      <c r="H39" s="781"/>
      <c r="I39" s="834"/>
      <c r="J39" s="835"/>
    </row>
    <row r="40" spans="1:11" s="405" customFormat="1" x14ac:dyDescent="0.2">
      <c r="A40" s="772" t="s">
        <v>5</v>
      </c>
      <c r="B40" s="773">
        <v>6</v>
      </c>
      <c r="C40" s="774" t="s">
        <v>861</v>
      </c>
      <c r="D40" s="775">
        <v>11</v>
      </c>
      <c r="E40" s="780">
        <v>17662</v>
      </c>
      <c r="F40" s="781">
        <v>8487</v>
      </c>
      <c r="G40" s="781">
        <v>25091</v>
      </c>
      <c r="H40" s="781">
        <v>18131</v>
      </c>
      <c r="I40" s="778">
        <f>E40/G40</f>
        <v>0.70391773942848035</v>
      </c>
      <c r="J40" s="779">
        <f>E40/H40</f>
        <v>0.97413270089901272</v>
      </c>
    </row>
    <row r="41" spans="1:11" s="405" customFormat="1" ht="4.5" customHeight="1" x14ac:dyDescent="0.2">
      <c r="A41" s="772"/>
      <c r="B41" s="773"/>
      <c r="C41" s="774"/>
      <c r="D41" s="775"/>
      <c r="E41" s="780"/>
      <c r="F41" s="781"/>
      <c r="G41" s="781"/>
      <c r="H41" s="781"/>
      <c r="I41" s="834"/>
      <c r="J41" s="835"/>
    </row>
    <row r="42" spans="1:11" s="405" customFormat="1" x14ac:dyDescent="0.2">
      <c r="A42" s="782" t="s">
        <v>6</v>
      </c>
      <c r="B42" s="783">
        <v>2</v>
      </c>
      <c r="C42" s="784" t="s">
        <v>861</v>
      </c>
      <c r="D42" s="785">
        <v>11</v>
      </c>
      <c r="E42" s="786">
        <v>24190</v>
      </c>
      <c r="F42" s="787">
        <v>13822</v>
      </c>
      <c r="G42" s="787">
        <v>24828</v>
      </c>
      <c r="H42" s="787">
        <v>20064</v>
      </c>
      <c r="I42" s="788">
        <f>E42/G42</f>
        <v>0.97430320605767684</v>
      </c>
      <c r="J42" s="789">
        <f>E42/H42</f>
        <v>1.2056419457735248</v>
      </c>
    </row>
    <row r="43" spans="1:11" s="405" customFormat="1" ht="6" customHeight="1" x14ac:dyDescent="0.2">
      <c r="A43" s="772"/>
      <c r="B43" s="773"/>
      <c r="C43" s="774"/>
      <c r="D43" s="775"/>
      <c r="E43" s="780"/>
      <c r="F43" s="781"/>
      <c r="G43" s="781"/>
      <c r="H43" s="781"/>
      <c r="I43" s="834"/>
      <c r="J43" s="835"/>
    </row>
    <row r="44" spans="1:11" s="405" customFormat="1" x14ac:dyDescent="0.2">
      <c r="A44" s="772" t="s">
        <v>8</v>
      </c>
      <c r="B44" s="773">
        <v>1</v>
      </c>
      <c r="C44" s="774" t="s">
        <v>861</v>
      </c>
      <c r="D44" s="775">
        <v>11</v>
      </c>
      <c r="E44" s="780">
        <v>25091</v>
      </c>
      <c r="F44" s="781">
        <v>10998</v>
      </c>
      <c r="G44" s="781">
        <v>25091</v>
      </c>
      <c r="H44" s="781">
        <v>17468</v>
      </c>
      <c r="I44" s="778">
        <f>E44/G44</f>
        <v>1</v>
      </c>
      <c r="J44" s="779">
        <f>E44/H44</f>
        <v>1.4363979848866499</v>
      </c>
    </row>
    <row r="45" spans="1:11" s="405" customFormat="1" ht="4.5" customHeight="1" thickBot="1" x14ac:dyDescent="0.25">
      <c r="A45" s="836"/>
      <c r="B45" s="802"/>
      <c r="C45" s="803"/>
      <c r="D45" s="804"/>
      <c r="E45" s="837"/>
      <c r="F45" s="838"/>
      <c r="G45" s="838"/>
      <c r="H45" s="838"/>
      <c r="I45" s="839"/>
      <c r="J45" s="840"/>
    </row>
    <row r="46" spans="1:11" s="405" customFormat="1" x14ac:dyDescent="0.2">
      <c r="A46" s="841"/>
      <c r="B46" s="774"/>
      <c r="C46" s="774"/>
      <c r="D46" s="774"/>
      <c r="E46" s="842"/>
      <c r="F46" s="842"/>
      <c r="G46" s="841"/>
      <c r="H46" s="841"/>
      <c r="I46" s="841"/>
      <c r="J46" s="843"/>
      <c r="K46" s="843"/>
    </row>
    <row r="47" spans="1:11" ht="16.5" x14ac:dyDescent="0.3">
      <c r="A47" s="746" t="s">
        <v>865</v>
      </c>
      <c r="B47" s="827"/>
      <c r="C47" s="827"/>
      <c r="D47" s="827"/>
      <c r="E47" s="828"/>
      <c r="F47" s="828"/>
      <c r="G47" s="829"/>
      <c r="H47" s="829"/>
      <c r="I47" s="818"/>
      <c r="J47" s="818"/>
      <c r="K47" s="818"/>
    </row>
    <row r="48" spans="1:11" ht="16.5" x14ac:dyDescent="0.3">
      <c r="A48" s="746" t="s">
        <v>866</v>
      </c>
      <c r="B48" s="830"/>
      <c r="C48" s="830"/>
      <c r="D48" s="827"/>
      <c r="E48" s="828"/>
      <c r="F48" s="828"/>
      <c r="G48" s="829"/>
      <c r="H48" s="829"/>
      <c r="I48" s="818"/>
      <c r="J48" s="818"/>
      <c r="K48" s="818"/>
    </row>
    <row r="49" spans="1:11" ht="16.5" x14ac:dyDescent="0.3">
      <c r="A49" s="831" t="s">
        <v>874</v>
      </c>
      <c r="B49" s="827"/>
      <c r="C49" s="827"/>
      <c r="D49" s="827"/>
      <c r="E49" s="828"/>
      <c r="F49" s="828"/>
      <c r="G49" s="829"/>
      <c r="H49" s="829"/>
      <c r="I49" s="818"/>
      <c r="J49" s="818"/>
      <c r="K49" s="818"/>
    </row>
    <row r="50" spans="1:11" ht="16.5" x14ac:dyDescent="0.3">
      <c r="A50" s="831" t="s">
        <v>875</v>
      </c>
      <c r="B50" s="827"/>
      <c r="C50" s="827"/>
      <c r="D50" s="827"/>
      <c r="E50" s="828"/>
      <c r="F50" s="828"/>
      <c r="G50" s="829"/>
      <c r="H50" s="829"/>
      <c r="I50" s="818"/>
      <c r="J50" s="818"/>
      <c r="K50" s="818"/>
    </row>
    <row r="51" spans="1:11" ht="17.25" customHeight="1" x14ac:dyDescent="0.3">
      <c r="A51" s="831" t="s">
        <v>869</v>
      </c>
      <c r="B51" s="827"/>
      <c r="C51" s="827"/>
      <c r="D51" s="827"/>
      <c r="E51" s="828"/>
      <c r="F51" s="828"/>
      <c r="G51" s="829"/>
      <c r="H51" s="829"/>
      <c r="I51" s="818"/>
      <c r="J51" s="818"/>
      <c r="K51" s="818"/>
    </row>
    <row r="52" spans="1:11" ht="12.75" customHeight="1" x14ac:dyDescent="0.3">
      <c r="A52" s="858"/>
      <c r="B52" s="827"/>
      <c r="C52" s="827"/>
      <c r="D52" s="827"/>
      <c r="E52" s="828"/>
      <c r="F52" s="828"/>
      <c r="G52" s="829"/>
      <c r="H52" s="829"/>
      <c r="I52" s="818"/>
      <c r="J52" s="818"/>
      <c r="K52" s="818"/>
    </row>
    <row r="53" spans="1:11" ht="12.75" customHeight="1" x14ac:dyDescent="0.2">
      <c r="B53" s="431"/>
      <c r="C53" s="431"/>
      <c r="D53" s="431"/>
      <c r="E53" s="424"/>
      <c r="F53" s="424"/>
      <c r="G53" s="424"/>
      <c r="H53" s="424"/>
    </row>
    <row r="54" spans="1:11" x14ac:dyDescent="0.2">
      <c r="B54" s="431"/>
      <c r="C54" s="431"/>
      <c r="D54" s="431"/>
      <c r="E54" s="424"/>
      <c r="F54" s="424"/>
      <c r="G54" s="424"/>
      <c r="H54" s="424"/>
    </row>
  </sheetData>
  <mergeCells count="6">
    <mergeCell ref="B34:D34"/>
    <mergeCell ref="B5:D5"/>
    <mergeCell ref="B6:D6"/>
    <mergeCell ref="B7:D7"/>
    <mergeCell ref="B32:D32"/>
    <mergeCell ref="B33:D33"/>
  </mergeCells>
  <pageMargins left="0.6" right="0" top="0" bottom="0" header="0.5" footer="0"/>
  <pageSetup scale="95" orientation="portrait" r:id="rId1"/>
  <headerFooter alignWithMargins="0">
    <oddFooter>&amp;C&amp;P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showGridLines="0" view="pageBreakPreview" zoomScaleNormal="100" zoomScaleSheetLayoutView="100" workbookViewId="0">
      <selection activeCell="A56" sqref="A56:G56"/>
    </sheetView>
  </sheetViews>
  <sheetFormatPr defaultColWidth="9.140625" defaultRowHeight="16.5" x14ac:dyDescent="0.3"/>
  <cols>
    <col min="1" max="1" width="2.42578125" style="343" customWidth="1"/>
    <col min="2" max="2" width="18" style="343" customWidth="1"/>
    <col min="3" max="3" width="13.7109375" style="343" customWidth="1"/>
    <col min="4" max="4" width="20.140625" style="346" customWidth="1"/>
    <col min="5" max="5" width="13.7109375" style="346" customWidth="1"/>
    <col min="6" max="6" width="16.7109375" style="346" customWidth="1"/>
    <col min="7" max="7" width="20.5703125" style="350" customWidth="1"/>
    <col min="8" max="8" width="1.7109375" style="343" customWidth="1"/>
    <col min="9" max="10" width="9.140625" style="343" customWidth="1"/>
    <col min="11" max="16384" width="9.140625" style="343"/>
  </cols>
  <sheetData>
    <row r="1" spans="1:9" ht="39.950000000000003" customHeight="1" thickBot="1" x14ac:dyDescent="0.35">
      <c r="A1" s="340" t="s">
        <v>0</v>
      </c>
      <c r="B1" s="340"/>
      <c r="C1" s="340"/>
      <c r="D1" s="341"/>
      <c r="E1" s="341"/>
      <c r="F1" s="341"/>
      <c r="G1" s="342"/>
    </row>
    <row r="2" spans="1:9" x14ac:dyDescent="0.3">
      <c r="A2" s="344" t="s">
        <v>1001</v>
      </c>
      <c r="B2" s="344"/>
      <c r="C2" s="345"/>
      <c r="F2" s="347" t="s">
        <v>899</v>
      </c>
      <c r="G2" s="355" t="str">
        <f>Instructions!E33</f>
        <v>March 15, 2019</v>
      </c>
      <c r="I2" s="865"/>
    </row>
    <row r="3" spans="1:9" ht="6" customHeight="1" x14ac:dyDescent="0.3"/>
    <row r="4" spans="1:9" x14ac:dyDescent="0.3">
      <c r="B4" s="876" t="s">
        <v>924</v>
      </c>
      <c r="C4" s="871"/>
      <c r="D4" s="347" t="s">
        <v>926</v>
      </c>
      <c r="E4" s="871"/>
      <c r="F4" s="347" t="s">
        <v>630</v>
      </c>
      <c r="G4" s="348"/>
    </row>
    <row r="5" spans="1:9" ht="6" customHeight="1" x14ac:dyDescent="0.3">
      <c r="B5" s="877"/>
      <c r="C5" s="873"/>
      <c r="D5" s="877"/>
      <c r="E5" s="872"/>
      <c r="F5" s="351"/>
    </row>
    <row r="6" spans="1:9" ht="16.5" customHeight="1" x14ac:dyDescent="0.3">
      <c r="B6" s="347" t="s">
        <v>925</v>
      </c>
      <c r="C6" s="871"/>
      <c r="D6" s="347" t="s">
        <v>927</v>
      </c>
      <c r="E6" s="871"/>
      <c r="F6" s="347" t="s">
        <v>898</v>
      </c>
      <c r="G6" s="348"/>
      <c r="I6" s="865"/>
    </row>
    <row r="7" spans="1:9" ht="16.5" customHeight="1" x14ac:dyDescent="0.3">
      <c r="B7" s="352"/>
      <c r="C7" s="352"/>
      <c r="D7" s="353"/>
      <c r="E7" s="353"/>
    </row>
    <row r="8" spans="1:9" ht="15" customHeight="1" x14ac:dyDescent="0.3">
      <c r="A8" s="973" t="s">
        <v>903</v>
      </c>
      <c r="B8" s="973"/>
      <c r="C8" s="886"/>
      <c r="D8" s="896" t="s">
        <v>900</v>
      </c>
      <c r="E8" s="896"/>
      <c r="F8" s="880"/>
      <c r="G8" s="880"/>
    </row>
    <row r="9" spans="1:9" ht="12.75" customHeight="1" x14ac:dyDescent="0.3">
      <c r="A9" s="974"/>
      <c r="B9" s="974"/>
      <c r="C9" s="887"/>
      <c r="D9" s="898"/>
      <c r="E9" s="897"/>
      <c r="F9" s="878"/>
      <c r="G9" s="879"/>
      <c r="I9" s="865"/>
    </row>
    <row r="10" spans="1:9" ht="12.75" customHeight="1" x14ac:dyDescent="0.3">
      <c r="B10" s="352"/>
      <c r="C10" s="352"/>
      <c r="D10" s="353"/>
      <c r="E10" s="353"/>
      <c r="F10" s="351"/>
      <c r="G10" s="356"/>
    </row>
    <row r="11" spans="1:9" ht="12.75" customHeight="1" x14ac:dyDescent="0.3">
      <c r="B11" s="352"/>
      <c r="C11" s="352"/>
      <c r="D11" s="353"/>
      <c r="E11" s="353"/>
      <c r="F11" s="351"/>
      <c r="G11" s="356"/>
    </row>
    <row r="12" spans="1:9" ht="15.95" customHeight="1" x14ac:dyDescent="0.3">
      <c r="A12" s="991" t="s">
        <v>1006</v>
      </c>
      <c r="B12" s="992"/>
      <c r="C12" s="992"/>
      <c r="D12" s="992"/>
      <c r="E12" s="992"/>
      <c r="F12" s="992"/>
      <c r="G12" s="993"/>
    </row>
    <row r="13" spans="1:9" ht="12.75" customHeight="1" x14ac:dyDescent="0.3">
      <c r="A13" s="985" t="s">
        <v>1003</v>
      </c>
      <c r="B13" s="986"/>
      <c r="C13" s="986"/>
      <c r="D13" s="987"/>
      <c r="E13" s="1019" t="s">
        <v>928</v>
      </c>
      <c r="F13" s="988" t="s">
        <v>932</v>
      </c>
      <c r="G13" s="990"/>
      <c r="I13" s="865"/>
    </row>
    <row r="14" spans="1:9" ht="12.75" customHeight="1" x14ac:dyDescent="0.3">
      <c r="A14" s="988"/>
      <c r="B14" s="989"/>
      <c r="C14" s="989"/>
      <c r="D14" s="990"/>
      <c r="E14" s="981"/>
      <c r="F14" s="954" t="s">
        <v>929</v>
      </c>
      <c r="G14" s="954" t="s">
        <v>643</v>
      </c>
      <c r="I14" s="865"/>
    </row>
    <row r="15" spans="1:9" ht="12.75" customHeight="1" x14ac:dyDescent="0.3">
      <c r="A15" s="994"/>
      <c r="B15" s="995"/>
      <c r="C15" s="995"/>
      <c r="D15" s="996"/>
      <c r="E15" s="940"/>
      <c r="F15" s="940"/>
      <c r="G15" s="959">
        <f t="shared" ref="G15:G20" si="0">IF($D$9,E15/$D$9,0)</f>
        <v>0</v>
      </c>
    </row>
    <row r="16" spans="1:9" ht="12.75" customHeight="1" x14ac:dyDescent="0.3">
      <c r="A16" s="982"/>
      <c r="B16" s="982"/>
      <c r="C16" s="982"/>
      <c r="D16" s="982"/>
      <c r="E16" s="940"/>
      <c r="F16" s="940"/>
      <c r="G16" s="959">
        <f t="shared" si="0"/>
        <v>0</v>
      </c>
    </row>
    <row r="17" spans="1:12" ht="12.75" customHeight="1" x14ac:dyDescent="0.3">
      <c r="A17" s="982"/>
      <c r="B17" s="982"/>
      <c r="C17" s="982"/>
      <c r="D17" s="982"/>
      <c r="E17" s="940"/>
      <c r="F17" s="940"/>
      <c r="G17" s="959">
        <f t="shared" si="0"/>
        <v>0</v>
      </c>
    </row>
    <row r="18" spans="1:12" ht="12.75" customHeight="1" x14ac:dyDescent="0.3">
      <c r="A18" s="982"/>
      <c r="B18" s="982"/>
      <c r="C18" s="982"/>
      <c r="D18" s="982"/>
      <c r="E18" s="940"/>
      <c r="F18" s="940"/>
      <c r="G18" s="959">
        <f t="shared" si="0"/>
        <v>0</v>
      </c>
    </row>
    <row r="19" spans="1:12" ht="12.75" customHeight="1" x14ac:dyDescent="0.3">
      <c r="A19" s="982"/>
      <c r="B19" s="982"/>
      <c r="C19" s="982"/>
      <c r="D19" s="982"/>
      <c r="E19" s="940"/>
      <c r="F19" s="940"/>
      <c r="G19" s="959">
        <f t="shared" si="0"/>
        <v>0</v>
      </c>
    </row>
    <row r="20" spans="1:12" ht="12.75" customHeight="1" x14ac:dyDescent="0.3">
      <c r="A20" s="982"/>
      <c r="B20" s="982"/>
      <c r="C20" s="982"/>
      <c r="D20" s="982"/>
      <c r="E20" s="940"/>
      <c r="F20" s="940"/>
      <c r="G20" s="959">
        <f t="shared" si="0"/>
        <v>0</v>
      </c>
    </row>
    <row r="21" spans="1:12" ht="12.75" customHeight="1" x14ac:dyDescent="0.3">
      <c r="A21" s="1025" t="s">
        <v>751</v>
      </c>
      <c r="B21" s="1026"/>
      <c r="C21" s="1026"/>
      <c r="D21" s="1027"/>
      <c r="E21" s="958">
        <f>SUM(E15:E20)</f>
        <v>0</v>
      </c>
      <c r="F21" s="958">
        <f t="shared" ref="F21" si="1">SUM(F15:F20)</f>
        <v>0</v>
      </c>
      <c r="G21" s="960">
        <f>SUM(G15:G20)</f>
        <v>0</v>
      </c>
    </row>
    <row r="22" spans="1:12" ht="12.75" customHeight="1" x14ac:dyDescent="0.3">
      <c r="A22" s="1028" t="s">
        <v>1011</v>
      </c>
      <c r="B22" s="1028"/>
      <c r="C22" s="1028"/>
      <c r="D22" s="1028"/>
      <c r="E22" s="1028"/>
      <c r="F22" s="1028"/>
      <c r="G22" s="1028"/>
    </row>
    <row r="23" spans="1:12" ht="65.099999999999994" customHeight="1" x14ac:dyDescent="0.3">
      <c r="A23" s="1001"/>
      <c r="B23" s="1002"/>
      <c r="C23" s="1002"/>
      <c r="D23" s="1002"/>
      <c r="E23" s="1002"/>
      <c r="F23" s="1002"/>
      <c r="G23" s="1003"/>
    </row>
    <row r="24" spans="1:12" ht="12.75" customHeight="1" x14ac:dyDescent="0.3">
      <c r="A24" s="955"/>
      <c r="B24" s="956"/>
      <c r="C24" s="956"/>
      <c r="D24" s="956"/>
      <c r="E24" s="956"/>
      <c r="F24" s="956"/>
      <c r="G24" s="956"/>
    </row>
    <row r="25" spans="1:12" ht="12.75" customHeight="1" x14ac:dyDescent="0.3">
      <c r="A25" s="955"/>
      <c r="B25" s="956"/>
      <c r="C25" s="956"/>
      <c r="D25" s="956"/>
      <c r="E25" s="956"/>
      <c r="F25" s="956"/>
      <c r="G25" s="956"/>
    </row>
    <row r="26" spans="1:12" ht="15.95" customHeight="1" x14ac:dyDescent="0.3">
      <c r="A26" s="1020" t="s">
        <v>1004</v>
      </c>
      <c r="B26" s="1021"/>
      <c r="C26" s="1021"/>
      <c r="D26" s="1021"/>
      <c r="E26" s="1021"/>
      <c r="F26" s="1021"/>
      <c r="G26" s="1022"/>
    </row>
    <row r="27" spans="1:12" ht="12.75" customHeight="1" x14ac:dyDescent="0.3">
      <c r="A27" s="1023" t="s">
        <v>1000</v>
      </c>
      <c r="B27" s="1023"/>
      <c r="C27" s="1023"/>
      <c r="D27" s="1023"/>
      <c r="E27" s="980" t="s">
        <v>928</v>
      </c>
      <c r="F27" s="978" t="s">
        <v>932</v>
      </c>
      <c r="G27" s="979"/>
      <c r="I27" s="865"/>
    </row>
    <row r="28" spans="1:12" ht="12.75" customHeight="1" x14ac:dyDescent="0.3">
      <c r="A28" s="1023"/>
      <c r="B28" s="1023"/>
      <c r="C28" s="1023"/>
      <c r="D28" s="1023"/>
      <c r="E28" s="981"/>
      <c r="F28" s="954" t="s">
        <v>929</v>
      </c>
      <c r="G28" s="954" t="s">
        <v>643</v>
      </c>
      <c r="I28" s="865"/>
    </row>
    <row r="29" spans="1:12" ht="12.75" customHeight="1" x14ac:dyDescent="0.3">
      <c r="A29" s="1023"/>
      <c r="B29" s="1023"/>
      <c r="C29" s="1023"/>
      <c r="D29" s="1023"/>
      <c r="E29" s="952">
        <v>0</v>
      </c>
      <c r="F29" s="952">
        <v>0</v>
      </c>
      <c r="G29" s="961">
        <f>IF($D$9,E29/$D$9,0)</f>
        <v>0</v>
      </c>
    </row>
    <row r="30" spans="1:12" ht="12.75" customHeight="1" x14ac:dyDescent="0.3">
      <c r="A30" s="998" t="s">
        <v>1011</v>
      </c>
      <c r="B30" s="999"/>
      <c r="C30" s="999"/>
      <c r="D30" s="999"/>
      <c r="E30" s="999"/>
      <c r="F30" s="999"/>
      <c r="G30" s="1000"/>
    </row>
    <row r="31" spans="1:12" ht="65.099999999999994" customHeight="1" x14ac:dyDescent="0.3">
      <c r="A31" s="1001"/>
      <c r="B31" s="1002"/>
      <c r="C31" s="1002"/>
      <c r="D31" s="1002"/>
      <c r="E31" s="1002"/>
      <c r="F31" s="1002"/>
      <c r="G31" s="1003"/>
      <c r="K31" s="957"/>
      <c r="L31" s="957"/>
    </row>
    <row r="32" spans="1:12" ht="12.75" customHeight="1" x14ac:dyDescent="0.3">
      <c r="K32" s="957"/>
      <c r="L32" s="957"/>
    </row>
    <row r="33" spans="1:12" ht="12.75" customHeight="1" x14ac:dyDescent="0.3">
      <c r="K33" s="957"/>
      <c r="L33" s="957"/>
    </row>
    <row r="34" spans="1:12" ht="15.95" customHeight="1" x14ac:dyDescent="0.3">
      <c r="A34" s="1004" t="s">
        <v>1005</v>
      </c>
      <c r="B34" s="1005"/>
      <c r="C34" s="1005"/>
      <c r="D34" s="1005"/>
      <c r="E34" s="1005"/>
      <c r="F34" s="1005"/>
      <c r="G34" s="1006"/>
      <c r="K34" s="957"/>
      <c r="L34" s="957"/>
    </row>
    <row r="35" spans="1:12" ht="12.75" customHeight="1" x14ac:dyDescent="0.3">
      <c r="A35" s="1030" t="s">
        <v>1003</v>
      </c>
      <c r="B35" s="1031"/>
      <c r="C35" s="1031"/>
      <c r="D35" s="1032"/>
      <c r="E35" s="980" t="s">
        <v>928</v>
      </c>
      <c r="F35" s="978" t="s">
        <v>932</v>
      </c>
      <c r="G35" s="979"/>
      <c r="I35" s="865"/>
      <c r="K35" s="1029"/>
      <c r="L35" s="1029"/>
    </row>
    <row r="36" spans="1:12" ht="12.75" customHeight="1" x14ac:dyDescent="0.3">
      <c r="A36" s="1033"/>
      <c r="B36" s="1034"/>
      <c r="C36" s="1034"/>
      <c r="D36" s="1035"/>
      <c r="E36" s="981"/>
      <c r="F36" s="954" t="s">
        <v>929</v>
      </c>
      <c r="G36" s="954" t="s">
        <v>643</v>
      </c>
      <c r="I36" s="865"/>
    </row>
    <row r="37" spans="1:12" ht="12.75" customHeight="1" x14ac:dyDescent="0.3">
      <c r="A37" s="982"/>
      <c r="B37" s="982"/>
      <c r="C37" s="982"/>
      <c r="D37" s="982"/>
      <c r="E37" s="940"/>
      <c r="F37" s="940"/>
      <c r="G37" s="959">
        <f>IF($D$9,E37/$D$9,0)</f>
        <v>0</v>
      </c>
    </row>
    <row r="38" spans="1:12" ht="12.75" customHeight="1" x14ac:dyDescent="0.3">
      <c r="A38" s="982"/>
      <c r="B38" s="982"/>
      <c r="C38" s="982"/>
      <c r="D38" s="982"/>
      <c r="E38" s="940"/>
      <c r="F38" s="940"/>
      <c r="G38" s="959">
        <f t="shared" ref="G38:G39" si="2">IF($D$9,E38/$D$9,0)</f>
        <v>0</v>
      </c>
    </row>
    <row r="39" spans="1:12" ht="12.75" customHeight="1" x14ac:dyDescent="0.3">
      <c r="A39" s="982"/>
      <c r="B39" s="982"/>
      <c r="C39" s="982"/>
      <c r="D39" s="982"/>
      <c r="E39" s="940"/>
      <c r="F39" s="940"/>
      <c r="G39" s="959">
        <f t="shared" si="2"/>
        <v>0</v>
      </c>
    </row>
    <row r="40" spans="1:12" ht="12.75" customHeight="1" x14ac:dyDescent="0.3">
      <c r="A40" s="1024" t="s">
        <v>751</v>
      </c>
      <c r="B40" s="1024"/>
      <c r="C40" s="1024"/>
      <c r="D40" s="1024"/>
      <c r="E40" s="952">
        <f>SUM(E37:E39)</f>
        <v>0</v>
      </c>
      <c r="F40" s="952">
        <f t="shared" ref="F40" si="3">SUM(F37:F39)</f>
        <v>0</v>
      </c>
      <c r="G40" s="962">
        <f>SUM(G37:G39)</f>
        <v>0</v>
      </c>
    </row>
    <row r="41" spans="1:12" ht="12.75" customHeight="1" x14ac:dyDescent="0.3">
      <c r="A41" s="1007" t="s">
        <v>1011</v>
      </c>
      <c r="B41" s="1008"/>
      <c r="C41" s="1008"/>
      <c r="D41" s="1008"/>
      <c r="E41" s="1008"/>
      <c r="F41" s="1008"/>
      <c r="G41" s="1009"/>
    </row>
    <row r="42" spans="1:12" ht="65.099999999999994" customHeight="1" x14ac:dyDescent="0.3">
      <c r="A42" s="1001"/>
      <c r="B42" s="1002"/>
      <c r="C42" s="1002"/>
      <c r="D42" s="1002"/>
      <c r="E42" s="1002"/>
      <c r="F42" s="1002"/>
      <c r="G42" s="1003"/>
    </row>
    <row r="43" spans="1:12" ht="12.75" customHeight="1" x14ac:dyDescent="0.3"/>
    <row r="44" spans="1:12" ht="12.75" customHeight="1" x14ac:dyDescent="0.3"/>
    <row r="45" spans="1:12" ht="15.95" customHeight="1" x14ac:dyDescent="0.3">
      <c r="A45" s="1004" t="s">
        <v>1002</v>
      </c>
      <c r="B45" s="1005"/>
      <c r="C45" s="1005"/>
      <c r="D45" s="1005"/>
      <c r="E45" s="1005"/>
      <c r="F45" s="1005"/>
      <c r="G45" s="1006"/>
    </row>
    <row r="46" spans="1:12" ht="12.75" customHeight="1" x14ac:dyDescent="0.3">
      <c r="A46" s="1010" t="s">
        <v>1003</v>
      </c>
      <c r="B46" s="1011"/>
      <c r="C46" s="1011"/>
      <c r="D46" s="1012"/>
      <c r="E46" s="980" t="s">
        <v>928</v>
      </c>
      <c r="F46" s="978" t="s">
        <v>932</v>
      </c>
      <c r="G46" s="979"/>
      <c r="I46" s="865"/>
    </row>
    <row r="47" spans="1:12" ht="12.75" customHeight="1" x14ac:dyDescent="0.3">
      <c r="A47" s="1013"/>
      <c r="B47" s="1014"/>
      <c r="C47" s="1014"/>
      <c r="D47" s="1015"/>
      <c r="E47" s="981"/>
      <c r="F47" s="954" t="s">
        <v>929</v>
      </c>
      <c r="G47" s="954" t="s">
        <v>643</v>
      </c>
      <c r="I47" s="865"/>
    </row>
    <row r="48" spans="1:12" ht="12.75" customHeight="1" x14ac:dyDescent="0.3">
      <c r="A48" s="982"/>
      <c r="B48" s="982"/>
      <c r="C48" s="982"/>
      <c r="D48" s="982"/>
      <c r="E48" s="940"/>
      <c r="F48" s="940"/>
      <c r="G48" s="959">
        <f t="shared" ref="G48:G53" si="4">IF($D$9,E48/$D$9,0)</f>
        <v>0</v>
      </c>
    </row>
    <row r="49" spans="1:7" ht="12.75" customHeight="1" x14ac:dyDescent="0.3">
      <c r="A49" s="982"/>
      <c r="B49" s="982"/>
      <c r="C49" s="982"/>
      <c r="D49" s="982"/>
      <c r="E49" s="940"/>
      <c r="F49" s="940"/>
      <c r="G49" s="959">
        <f t="shared" si="4"/>
        <v>0</v>
      </c>
    </row>
    <row r="50" spans="1:7" ht="12.75" customHeight="1" x14ac:dyDescent="0.3">
      <c r="A50" s="982"/>
      <c r="B50" s="982"/>
      <c r="C50" s="982"/>
      <c r="D50" s="982"/>
      <c r="E50" s="940"/>
      <c r="F50" s="940"/>
      <c r="G50" s="959">
        <f t="shared" si="4"/>
        <v>0</v>
      </c>
    </row>
    <row r="51" spans="1:7" ht="12.75" customHeight="1" x14ac:dyDescent="0.3">
      <c r="A51" s="982"/>
      <c r="B51" s="982"/>
      <c r="C51" s="982"/>
      <c r="D51" s="982"/>
      <c r="E51" s="940"/>
      <c r="F51" s="940"/>
      <c r="G51" s="959">
        <f t="shared" si="4"/>
        <v>0</v>
      </c>
    </row>
    <row r="52" spans="1:7" ht="12.75" customHeight="1" x14ac:dyDescent="0.3">
      <c r="A52" s="982"/>
      <c r="B52" s="982"/>
      <c r="C52" s="982"/>
      <c r="D52" s="982"/>
      <c r="E52" s="940"/>
      <c r="F52" s="940"/>
      <c r="G52" s="959">
        <f t="shared" si="4"/>
        <v>0</v>
      </c>
    </row>
    <row r="53" spans="1:7" ht="12.75" customHeight="1" x14ac:dyDescent="0.3">
      <c r="A53" s="982"/>
      <c r="B53" s="982"/>
      <c r="C53" s="982"/>
      <c r="D53" s="982"/>
      <c r="E53" s="940"/>
      <c r="F53" s="940"/>
      <c r="G53" s="959">
        <f t="shared" si="4"/>
        <v>0</v>
      </c>
    </row>
    <row r="54" spans="1:7" ht="12.75" customHeight="1" x14ac:dyDescent="0.3">
      <c r="A54" s="1016" t="s">
        <v>751</v>
      </c>
      <c r="B54" s="1017"/>
      <c r="C54" s="1017"/>
      <c r="D54" s="1018"/>
      <c r="E54" s="952">
        <f>SUM(E48:E53)</f>
        <v>0</v>
      </c>
      <c r="F54" s="952">
        <f t="shared" ref="F54" si="5">SUM(F48:F53)</f>
        <v>0</v>
      </c>
      <c r="G54" s="962">
        <f>SUM(G48:G53)</f>
        <v>0</v>
      </c>
    </row>
    <row r="55" spans="1:7" ht="12.75" customHeight="1" x14ac:dyDescent="0.3">
      <c r="A55" s="998" t="s">
        <v>1011</v>
      </c>
      <c r="B55" s="999"/>
      <c r="C55" s="999"/>
      <c r="D55" s="999"/>
      <c r="E55" s="999"/>
      <c r="F55" s="999"/>
      <c r="G55" s="1000"/>
    </row>
    <row r="56" spans="1:7" ht="65.099999999999994" customHeight="1" x14ac:dyDescent="0.3">
      <c r="A56" s="1001"/>
      <c r="B56" s="1002"/>
      <c r="C56" s="1002"/>
      <c r="D56" s="1002"/>
      <c r="E56" s="1002"/>
      <c r="F56" s="1002"/>
      <c r="G56" s="1003"/>
    </row>
    <row r="57" spans="1:7" ht="16.5" hidden="1" customHeight="1" x14ac:dyDescent="0.3">
      <c r="A57" s="983" t="s">
        <v>930</v>
      </c>
      <c r="B57" s="983"/>
      <c r="C57" s="983"/>
      <c r="D57" s="984"/>
    </row>
    <row r="58" spans="1:7" ht="30.75" hidden="1" customHeight="1" x14ac:dyDescent="0.3">
      <c r="A58" s="963" t="s">
        <v>2</v>
      </c>
      <c r="B58" s="964"/>
      <c r="C58" s="965"/>
      <c r="D58" s="874" t="s">
        <v>895</v>
      </c>
      <c r="E58" s="357" t="s">
        <v>633</v>
      </c>
      <c r="F58" s="357" t="s">
        <v>897</v>
      </c>
      <c r="G58" s="358" t="s">
        <v>10</v>
      </c>
    </row>
    <row r="59" spans="1:7" ht="12.75" hidden="1" customHeight="1" x14ac:dyDescent="0.3">
      <c r="A59" s="359" t="s">
        <v>638</v>
      </c>
      <c r="B59" s="360"/>
      <c r="C59" s="875"/>
      <c r="D59" s="893"/>
      <c r="E59" s="946" t="e">
        <f>+D59*#REF!</f>
        <v>#REF!</v>
      </c>
      <c r="F59" s="949" t="e">
        <f>+E59+D59</f>
        <v>#REF!</v>
      </c>
      <c r="G59" s="939">
        <f>IF(D59,(F59-D59)/D59,0)</f>
        <v>0</v>
      </c>
    </row>
    <row r="60" spans="1:7" ht="12.75" hidden="1" customHeight="1" x14ac:dyDescent="0.3">
      <c r="A60" s="359" t="s">
        <v>635</v>
      </c>
      <c r="B60" s="360"/>
      <c r="C60" s="361"/>
      <c r="D60" s="894"/>
      <c r="E60" s="947" t="e">
        <f>+D60*#REF!</f>
        <v>#REF!</v>
      </c>
      <c r="F60" s="950" t="e">
        <f>+E60+D60</f>
        <v>#REF!</v>
      </c>
      <c r="G60" s="941">
        <f t="shared" ref="G60:G62" si="6">IF(D60,(F60-D60)/D60,0)</f>
        <v>0</v>
      </c>
    </row>
    <row r="61" spans="1:7" ht="12.75" hidden="1" customHeight="1" x14ac:dyDescent="0.3">
      <c r="A61" s="359" t="s">
        <v>636</v>
      </c>
      <c r="B61" s="360"/>
      <c r="C61" s="361"/>
      <c r="D61" s="894"/>
      <c r="E61" s="947" t="e">
        <f>+D61*#REF!</f>
        <v>#REF!</v>
      </c>
      <c r="F61" s="950" t="e">
        <f>+E61+D61</f>
        <v>#REF!</v>
      </c>
      <c r="G61" s="941">
        <f t="shared" si="6"/>
        <v>0</v>
      </c>
    </row>
    <row r="62" spans="1:7" ht="12.75" hidden="1" customHeight="1" x14ac:dyDescent="0.3">
      <c r="A62" s="362" t="s">
        <v>637</v>
      </c>
      <c r="B62" s="363"/>
      <c r="C62" s="364"/>
      <c r="D62" s="895"/>
      <c r="E62" s="948" t="e">
        <f>+D62*#REF!</f>
        <v>#REF!</v>
      </c>
      <c r="F62" s="951" t="e">
        <f>+E62+D62</f>
        <v>#REF!</v>
      </c>
      <c r="G62" s="942">
        <f t="shared" si="6"/>
        <v>0</v>
      </c>
    </row>
    <row r="63" spans="1:7" ht="12.75" hidden="1" customHeight="1" x14ac:dyDescent="0.3">
      <c r="A63" s="870" t="s">
        <v>894</v>
      </c>
      <c r="B63" s="371"/>
      <c r="C63" s="371"/>
      <c r="D63" s="374"/>
      <c r="E63" s="374"/>
      <c r="F63" s="374"/>
      <c r="G63" s="373"/>
    </row>
    <row r="64" spans="1:7" ht="12.75" hidden="1" customHeight="1" x14ac:dyDescent="0.3">
      <c r="A64" s="365"/>
      <c r="B64" s="354"/>
      <c r="C64" s="354"/>
    </row>
    <row r="65" spans="1:8" s="354" customFormat="1" ht="12.75" hidden="1" customHeight="1" x14ac:dyDescent="0.25">
      <c r="A65" s="345" t="s">
        <v>931</v>
      </c>
      <c r="D65" s="366"/>
      <c r="E65" s="349"/>
      <c r="F65" s="366"/>
      <c r="G65" s="367"/>
    </row>
    <row r="66" spans="1:8" s="354" customFormat="1" ht="27" hidden="1" customHeight="1" x14ac:dyDescent="0.2">
      <c r="A66" s="975" t="s">
        <v>2</v>
      </c>
      <c r="B66" s="976"/>
      <c r="C66" s="977"/>
      <c r="D66" s="885" t="s">
        <v>901</v>
      </c>
      <c r="E66" s="888" t="s">
        <v>905</v>
      </c>
      <c r="F66" s="885" t="s">
        <v>902</v>
      </c>
      <c r="G66" s="864" t="s">
        <v>906</v>
      </c>
    </row>
    <row r="67" spans="1:8" s="354" customFormat="1" ht="12.75" hidden="1" customHeight="1" x14ac:dyDescent="0.2">
      <c r="A67" s="368" t="s">
        <v>639</v>
      </c>
      <c r="B67" s="368"/>
      <c r="C67" s="369"/>
      <c r="D67" s="943">
        <f>IF(D60,D60/D59,0)</f>
        <v>0</v>
      </c>
      <c r="E67" s="943">
        <v>1.1000000000000001</v>
      </c>
      <c r="F67" s="943" t="e">
        <f>IF(F60,F60/F59,0)</f>
        <v>#REF!</v>
      </c>
      <c r="G67" s="943" t="e">
        <f>+F67-E67</f>
        <v>#REF!</v>
      </c>
    </row>
    <row r="68" spans="1:8" s="354" customFormat="1" ht="12.75" hidden="1" customHeight="1" x14ac:dyDescent="0.2">
      <c r="A68" s="370" t="s">
        <v>640</v>
      </c>
      <c r="B68" s="370"/>
      <c r="C68" s="361"/>
      <c r="D68" s="944">
        <f>IF(D62,D62/D61,0)</f>
        <v>0</v>
      </c>
      <c r="E68" s="944">
        <v>1.1000000000000001</v>
      </c>
      <c r="F68" s="944" t="e">
        <f>IF(F62,F62/F61,0)</f>
        <v>#REF!</v>
      </c>
      <c r="G68" s="944" t="e">
        <f>+F68-E68</f>
        <v>#REF!</v>
      </c>
    </row>
    <row r="69" spans="1:8" s="354" customFormat="1" ht="12.75" hidden="1" customHeight="1" x14ac:dyDescent="0.2">
      <c r="A69" s="370" t="s">
        <v>641</v>
      </c>
      <c r="B69" s="370"/>
      <c r="C69" s="361"/>
      <c r="D69" s="944">
        <f>IF(D59,D61/D59,0)</f>
        <v>0</v>
      </c>
      <c r="E69" s="944">
        <v>3</v>
      </c>
      <c r="F69" s="944" t="e">
        <f>IF(F59,F61/F59,0)</f>
        <v>#REF!</v>
      </c>
      <c r="G69" s="944" t="e">
        <f>+F69-E69</f>
        <v>#REF!</v>
      </c>
    </row>
    <row r="70" spans="1:8" s="354" customFormat="1" ht="12.75" hidden="1" customHeight="1" x14ac:dyDescent="0.2">
      <c r="A70" s="372" t="s">
        <v>642</v>
      </c>
      <c r="B70" s="372"/>
      <c r="C70" s="364"/>
      <c r="D70" s="945">
        <f>IF(D60,D62/D60,0)</f>
        <v>0</v>
      </c>
      <c r="E70" s="945">
        <v>3</v>
      </c>
      <c r="F70" s="945" t="e">
        <f>IF(F60,F62/F60,0)</f>
        <v>#REF!</v>
      </c>
      <c r="G70" s="945" t="e">
        <f>+F70-E70</f>
        <v>#REF!</v>
      </c>
    </row>
    <row r="71" spans="1:8" s="354" customFormat="1" ht="12.75" hidden="1" customHeight="1" x14ac:dyDescent="0.2">
      <c r="A71" s="997" t="s">
        <v>896</v>
      </c>
      <c r="B71" s="997"/>
      <c r="C71" s="997"/>
      <c r="D71" s="997"/>
      <c r="E71" s="997"/>
      <c r="F71" s="997"/>
      <c r="G71" s="997"/>
      <c r="H71" s="869"/>
    </row>
    <row r="72" spans="1:8" s="354" customFormat="1" ht="12.75" hidden="1" customHeight="1" x14ac:dyDescent="0.2">
      <c r="A72" s="997"/>
      <c r="B72" s="997"/>
      <c r="C72" s="997"/>
      <c r="D72" s="997"/>
      <c r="E72" s="997"/>
      <c r="F72" s="997"/>
      <c r="G72" s="997"/>
      <c r="H72" s="869"/>
    </row>
    <row r="73" spans="1:8" s="354" customFormat="1" ht="12.75" hidden="1" customHeight="1" x14ac:dyDescent="0.2">
      <c r="A73" s="997"/>
      <c r="B73" s="997"/>
      <c r="C73" s="997"/>
      <c r="D73" s="997"/>
      <c r="E73" s="997"/>
      <c r="F73" s="997"/>
      <c r="G73" s="997"/>
      <c r="H73" s="869"/>
    </row>
  </sheetData>
  <mergeCells count="48">
    <mergeCell ref="A20:D20"/>
    <mergeCell ref="A8:B8"/>
    <mergeCell ref="A9:B9"/>
    <mergeCell ref="A12:G12"/>
    <mergeCell ref="A13:D14"/>
    <mergeCell ref="E13:E14"/>
    <mergeCell ref="F13:G13"/>
    <mergeCell ref="A15:D15"/>
    <mergeCell ref="A16:D16"/>
    <mergeCell ref="A17:D17"/>
    <mergeCell ref="A18:D18"/>
    <mergeCell ref="A19:D19"/>
    <mergeCell ref="A21:D21"/>
    <mergeCell ref="A22:G22"/>
    <mergeCell ref="A23:G23"/>
    <mergeCell ref="A26:G26"/>
    <mergeCell ref="A27:D29"/>
    <mergeCell ref="E27:E28"/>
    <mergeCell ref="F27:G27"/>
    <mergeCell ref="A41:G41"/>
    <mergeCell ref="A30:G30"/>
    <mergeCell ref="A31:G31"/>
    <mergeCell ref="A34:G34"/>
    <mergeCell ref="A35:D36"/>
    <mergeCell ref="E35:E36"/>
    <mergeCell ref="F35:G35"/>
    <mergeCell ref="K35:L35"/>
    <mergeCell ref="A37:D37"/>
    <mergeCell ref="A38:D38"/>
    <mergeCell ref="A39:D39"/>
    <mergeCell ref="A40:D40"/>
    <mergeCell ref="A54:D54"/>
    <mergeCell ref="A42:G42"/>
    <mergeCell ref="A45:G45"/>
    <mergeCell ref="A46:D47"/>
    <mergeCell ref="E46:E47"/>
    <mergeCell ref="F46:G46"/>
    <mergeCell ref="A48:D48"/>
    <mergeCell ref="A49:D49"/>
    <mergeCell ref="A50:D50"/>
    <mergeCell ref="A51:D51"/>
    <mergeCell ref="A52:D52"/>
    <mergeCell ref="A53:D53"/>
    <mergeCell ref="A55:G55"/>
    <mergeCell ref="A56:G56"/>
    <mergeCell ref="A57:D57"/>
    <mergeCell ref="A66:C66"/>
    <mergeCell ref="A71:G73"/>
  </mergeCells>
  <dataValidations count="2">
    <dataValidation type="list" allowBlank="1" showInputMessage="1" showErrorMessage="1" sqref="A9:B9">
      <formula1>"Education &amp; General,School of Medicine,School of Law,School of Dentistry,Eastern,Regional Campus,Correction Facility Program"</formula1>
    </dataValidation>
    <dataValidation type="list" allowBlank="1" showInputMessage="1" showErrorMessage="1" error="Please select institution from drop down menu" prompt="Click here to Select" sqref="G4">
      <formula1>"Dixie State University,Salt Lake Community College,Snow College,Southern Utah University,University of Utah,Utah State University,Utah Valley University,Weber State University"</formula1>
    </dataValidation>
  </dataValidations>
  <printOptions horizontalCentered="1"/>
  <pageMargins left="0.75" right="0.75" top="0.75" bottom="0.75" header="0.3" footer="0.3"/>
  <pageSetup scale="71" fitToHeight="2" orientation="portrait" r:id="rId1"/>
  <headerFooter>
    <oddFooter>&amp;L&amp;"Arial Narrow,Regular"&amp;10Revised: February 13, 2019&amp;R&amp;"Arial Narrow,Regular"&amp;10&amp;F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showGridLines="0" view="pageBreakPreview" zoomScaleNormal="100" zoomScaleSheetLayoutView="100" workbookViewId="0">
      <selection activeCell="A56" sqref="A56:G56"/>
    </sheetView>
  </sheetViews>
  <sheetFormatPr defaultColWidth="9.140625" defaultRowHeight="16.5" x14ac:dyDescent="0.3"/>
  <cols>
    <col min="1" max="1" width="2.42578125" style="343" customWidth="1"/>
    <col min="2" max="2" width="18" style="343" customWidth="1"/>
    <col min="3" max="3" width="13.7109375" style="343" customWidth="1"/>
    <col min="4" max="4" width="20.140625" style="346" customWidth="1"/>
    <col min="5" max="5" width="13.7109375" style="346" customWidth="1"/>
    <col min="6" max="6" width="16.7109375" style="346" customWidth="1"/>
    <col min="7" max="7" width="20.5703125" style="350" customWidth="1"/>
    <col min="8" max="8" width="1.7109375" style="343" customWidth="1"/>
    <col min="9" max="10" width="9.140625" style="343" customWidth="1"/>
    <col min="11" max="16384" width="9.140625" style="343"/>
  </cols>
  <sheetData>
    <row r="1" spans="1:9" ht="39.950000000000003" customHeight="1" thickBot="1" x14ac:dyDescent="0.35">
      <c r="A1" s="340" t="s">
        <v>0</v>
      </c>
      <c r="B1" s="340"/>
      <c r="C1" s="340"/>
      <c r="D1" s="341"/>
      <c r="E1" s="341"/>
      <c r="F1" s="341"/>
      <c r="G1" s="342"/>
    </row>
    <row r="2" spans="1:9" x14ac:dyDescent="0.3">
      <c r="A2" s="344" t="s">
        <v>1001</v>
      </c>
      <c r="B2" s="344"/>
      <c r="C2" s="345"/>
      <c r="F2" s="347" t="s">
        <v>899</v>
      </c>
      <c r="G2" s="355" t="str">
        <f>Instructions!E33</f>
        <v>March 15, 2019</v>
      </c>
      <c r="I2" s="865"/>
    </row>
    <row r="3" spans="1:9" ht="6" customHeight="1" x14ac:dyDescent="0.3"/>
    <row r="4" spans="1:9" x14ac:dyDescent="0.3">
      <c r="B4" s="876" t="s">
        <v>924</v>
      </c>
      <c r="C4" s="871"/>
      <c r="D4" s="347" t="s">
        <v>926</v>
      </c>
      <c r="E4" s="871"/>
      <c r="F4" s="347" t="s">
        <v>630</v>
      </c>
      <c r="G4" s="348"/>
    </row>
    <row r="5" spans="1:9" ht="6" customHeight="1" x14ac:dyDescent="0.3">
      <c r="B5" s="877"/>
      <c r="C5" s="873"/>
      <c r="D5" s="877"/>
      <c r="E5" s="872"/>
      <c r="F5" s="351"/>
    </row>
    <row r="6" spans="1:9" ht="16.5" customHeight="1" x14ac:dyDescent="0.3">
      <c r="B6" s="347" t="s">
        <v>925</v>
      </c>
      <c r="C6" s="871"/>
      <c r="D6" s="347" t="s">
        <v>927</v>
      </c>
      <c r="E6" s="871"/>
      <c r="F6" s="347" t="s">
        <v>898</v>
      </c>
      <c r="G6" s="348"/>
      <c r="I6" s="865"/>
    </row>
    <row r="7" spans="1:9" ht="16.5" customHeight="1" x14ac:dyDescent="0.3">
      <c r="B7" s="352"/>
      <c r="C7" s="352"/>
      <c r="D7" s="353"/>
      <c r="E7" s="353"/>
    </row>
    <row r="8" spans="1:9" ht="15" customHeight="1" x14ac:dyDescent="0.3">
      <c r="A8" s="973" t="s">
        <v>903</v>
      </c>
      <c r="B8" s="973"/>
      <c r="C8" s="886"/>
      <c r="D8" s="896" t="s">
        <v>900</v>
      </c>
      <c r="E8" s="896"/>
      <c r="F8" s="880"/>
      <c r="G8" s="880"/>
    </row>
    <row r="9" spans="1:9" ht="12.75" customHeight="1" x14ac:dyDescent="0.3">
      <c r="A9" s="974"/>
      <c r="B9" s="974"/>
      <c r="C9" s="887"/>
      <c r="D9" s="898"/>
      <c r="E9" s="897"/>
      <c r="F9" s="878"/>
      <c r="G9" s="879"/>
      <c r="I9" s="865"/>
    </row>
    <row r="10" spans="1:9" ht="12.75" customHeight="1" x14ac:dyDescent="0.3">
      <c r="B10" s="352"/>
      <c r="C10" s="352"/>
      <c r="D10" s="353"/>
      <c r="E10" s="353"/>
      <c r="F10" s="351"/>
      <c r="G10" s="356"/>
    </row>
    <row r="11" spans="1:9" ht="12.75" customHeight="1" x14ac:dyDescent="0.3">
      <c r="B11" s="352"/>
      <c r="C11" s="352"/>
      <c r="D11" s="353"/>
      <c r="E11" s="353"/>
      <c r="F11" s="351"/>
      <c r="G11" s="356"/>
    </row>
    <row r="12" spans="1:9" ht="15.95" customHeight="1" x14ac:dyDescent="0.3">
      <c r="A12" s="991" t="s">
        <v>1006</v>
      </c>
      <c r="B12" s="992"/>
      <c r="C12" s="992"/>
      <c r="D12" s="992"/>
      <c r="E12" s="992"/>
      <c r="F12" s="992"/>
      <c r="G12" s="993"/>
    </row>
    <row r="13" spans="1:9" ht="12.75" customHeight="1" x14ac:dyDescent="0.3">
      <c r="A13" s="985" t="s">
        <v>1003</v>
      </c>
      <c r="B13" s="986"/>
      <c r="C13" s="986"/>
      <c r="D13" s="987"/>
      <c r="E13" s="1019" t="s">
        <v>928</v>
      </c>
      <c r="F13" s="988" t="s">
        <v>932</v>
      </c>
      <c r="G13" s="990"/>
      <c r="I13" s="865"/>
    </row>
    <row r="14" spans="1:9" ht="12.75" customHeight="1" x14ac:dyDescent="0.3">
      <c r="A14" s="988"/>
      <c r="B14" s="989"/>
      <c r="C14" s="989"/>
      <c r="D14" s="990"/>
      <c r="E14" s="981"/>
      <c r="F14" s="954" t="s">
        <v>929</v>
      </c>
      <c r="G14" s="954" t="s">
        <v>643</v>
      </c>
      <c r="I14" s="865"/>
    </row>
    <row r="15" spans="1:9" ht="12.75" customHeight="1" x14ac:dyDescent="0.3">
      <c r="A15" s="994"/>
      <c r="B15" s="995"/>
      <c r="C15" s="995"/>
      <c r="D15" s="996"/>
      <c r="E15" s="940"/>
      <c r="F15" s="940"/>
      <c r="G15" s="959">
        <f t="shared" ref="G15:G20" si="0">IF($D$9,E15/$D$9,0)</f>
        <v>0</v>
      </c>
    </row>
    <row r="16" spans="1:9" ht="12.75" customHeight="1" x14ac:dyDescent="0.3">
      <c r="A16" s="982"/>
      <c r="B16" s="982"/>
      <c r="C16" s="982"/>
      <c r="D16" s="982"/>
      <c r="E16" s="940"/>
      <c r="F16" s="940"/>
      <c r="G16" s="959">
        <f t="shared" si="0"/>
        <v>0</v>
      </c>
    </row>
    <row r="17" spans="1:12" ht="12.75" customHeight="1" x14ac:dyDescent="0.3">
      <c r="A17" s="982"/>
      <c r="B17" s="982"/>
      <c r="C17" s="982"/>
      <c r="D17" s="982"/>
      <c r="E17" s="940"/>
      <c r="F17" s="940"/>
      <c r="G17" s="959">
        <f t="shared" si="0"/>
        <v>0</v>
      </c>
    </row>
    <row r="18" spans="1:12" ht="12.75" customHeight="1" x14ac:dyDescent="0.3">
      <c r="A18" s="982"/>
      <c r="B18" s="982"/>
      <c r="C18" s="982"/>
      <c r="D18" s="982"/>
      <c r="E18" s="940"/>
      <c r="F18" s="940"/>
      <c r="G18" s="959">
        <f t="shared" si="0"/>
        <v>0</v>
      </c>
    </row>
    <row r="19" spans="1:12" ht="12.75" customHeight="1" x14ac:dyDescent="0.3">
      <c r="A19" s="982"/>
      <c r="B19" s="982"/>
      <c r="C19" s="982"/>
      <c r="D19" s="982"/>
      <c r="E19" s="940"/>
      <c r="F19" s="940"/>
      <c r="G19" s="959">
        <f t="shared" si="0"/>
        <v>0</v>
      </c>
    </row>
    <row r="20" spans="1:12" ht="12.75" customHeight="1" x14ac:dyDescent="0.3">
      <c r="A20" s="982"/>
      <c r="B20" s="982"/>
      <c r="C20" s="982"/>
      <c r="D20" s="982"/>
      <c r="E20" s="940"/>
      <c r="F20" s="940"/>
      <c r="G20" s="959">
        <f t="shared" si="0"/>
        <v>0</v>
      </c>
    </row>
    <row r="21" spans="1:12" ht="12.75" customHeight="1" x14ac:dyDescent="0.3">
      <c r="A21" s="1025" t="s">
        <v>751</v>
      </c>
      <c r="B21" s="1026"/>
      <c r="C21" s="1026"/>
      <c r="D21" s="1027"/>
      <c r="E21" s="958">
        <f>SUM(E15:E20)</f>
        <v>0</v>
      </c>
      <c r="F21" s="958">
        <f t="shared" ref="F21" si="1">SUM(F15:F20)</f>
        <v>0</v>
      </c>
      <c r="G21" s="960">
        <f>SUM(G15:G20)</f>
        <v>0</v>
      </c>
    </row>
    <row r="22" spans="1:12" ht="12.75" customHeight="1" x14ac:dyDescent="0.3">
      <c r="A22" s="1028" t="s">
        <v>1011</v>
      </c>
      <c r="B22" s="1028"/>
      <c r="C22" s="1028"/>
      <c r="D22" s="1028"/>
      <c r="E22" s="1028"/>
      <c r="F22" s="1028"/>
      <c r="G22" s="1028"/>
    </row>
    <row r="23" spans="1:12" ht="65.099999999999994" customHeight="1" x14ac:dyDescent="0.3">
      <c r="A23" s="1001"/>
      <c r="B23" s="1002"/>
      <c r="C23" s="1002"/>
      <c r="D23" s="1002"/>
      <c r="E23" s="1002"/>
      <c r="F23" s="1002"/>
      <c r="G23" s="1003"/>
    </row>
    <row r="24" spans="1:12" ht="12.75" customHeight="1" x14ac:dyDescent="0.3">
      <c r="A24" s="955"/>
      <c r="B24" s="956"/>
      <c r="C24" s="956"/>
      <c r="D24" s="956"/>
      <c r="E24" s="956"/>
      <c r="F24" s="956"/>
      <c r="G24" s="956"/>
    </row>
    <row r="25" spans="1:12" ht="12.75" customHeight="1" x14ac:dyDescent="0.3">
      <c r="A25" s="955"/>
      <c r="B25" s="956"/>
      <c r="C25" s="956"/>
      <c r="D25" s="956"/>
      <c r="E25" s="956"/>
      <c r="F25" s="956"/>
      <c r="G25" s="956"/>
    </row>
    <row r="26" spans="1:12" ht="15.95" customHeight="1" x14ac:dyDescent="0.3">
      <c r="A26" s="1020" t="s">
        <v>1004</v>
      </c>
      <c r="B26" s="1021"/>
      <c r="C26" s="1021"/>
      <c r="D26" s="1021"/>
      <c r="E26" s="1021"/>
      <c r="F26" s="1021"/>
      <c r="G26" s="1022"/>
    </row>
    <row r="27" spans="1:12" ht="12.75" customHeight="1" x14ac:dyDescent="0.3">
      <c r="A27" s="1023" t="s">
        <v>1000</v>
      </c>
      <c r="B27" s="1023"/>
      <c r="C27" s="1023"/>
      <c r="D27" s="1023"/>
      <c r="E27" s="980" t="s">
        <v>928</v>
      </c>
      <c r="F27" s="978" t="s">
        <v>932</v>
      </c>
      <c r="G27" s="979"/>
      <c r="I27" s="865"/>
    </row>
    <row r="28" spans="1:12" ht="12.75" customHeight="1" x14ac:dyDescent="0.3">
      <c r="A28" s="1023"/>
      <c r="B28" s="1023"/>
      <c r="C28" s="1023"/>
      <c r="D28" s="1023"/>
      <c r="E28" s="981"/>
      <c r="F28" s="954" t="s">
        <v>929</v>
      </c>
      <c r="G28" s="954" t="s">
        <v>643</v>
      </c>
      <c r="I28" s="865"/>
    </row>
    <row r="29" spans="1:12" ht="12.75" customHeight="1" x14ac:dyDescent="0.3">
      <c r="A29" s="1023"/>
      <c r="B29" s="1023"/>
      <c r="C29" s="1023"/>
      <c r="D29" s="1023"/>
      <c r="E29" s="952">
        <v>0</v>
      </c>
      <c r="F29" s="952">
        <v>0</v>
      </c>
      <c r="G29" s="961">
        <f>IF($D$9,E29/$D$9,0)</f>
        <v>0</v>
      </c>
    </row>
    <row r="30" spans="1:12" ht="12.75" customHeight="1" x14ac:dyDescent="0.3">
      <c r="A30" s="998" t="s">
        <v>1011</v>
      </c>
      <c r="B30" s="999"/>
      <c r="C30" s="999"/>
      <c r="D30" s="999"/>
      <c r="E30" s="999"/>
      <c r="F30" s="999"/>
      <c r="G30" s="1000"/>
    </row>
    <row r="31" spans="1:12" ht="65.099999999999994" customHeight="1" x14ac:dyDescent="0.3">
      <c r="A31" s="1001"/>
      <c r="B31" s="1002"/>
      <c r="C31" s="1002"/>
      <c r="D31" s="1002"/>
      <c r="E31" s="1002"/>
      <c r="F31" s="1002"/>
      <c r="G31" s="1003"/>
      <c r="K31" s="957"/>
      <c r="L31" s="957"/>
    </row>
    <row r="32" spans="1:12" ht="12.75" customHeight="1" x14ac:dyDescent="0.3">
      <c r="K32" s="957"/>
      <c r="L32" s="957"/>
    </row>
    <row r="33" spans="1:12" ht="12.75" customHeight="1" x14ac:dyDescent="0.3">
      <c r="K33" s="957"/>
      <c r="L33" s="957"/>
    </row>
    <row r="34" spans="1:12" ht="15.95" customHeight="1" x14ac:dyDescent="0.3">
      <c r="A34" s="1004" t="s">
        <v>1005</v>
      </c>
      <c r="B34" s="1005"/>
      <c r="C34" s="1005"/>
      <c r="D34" s="1005"/>
      <c r="E34" s="1005"/>
      <c r="F34" s="1005"/>
      <c r="G34" s="1006"/>
      <c r="K34" s="957"/>
      <c r="L34" s="957"/>
    </row>
    <row r="35" spans="1:12" ht="12.75" customHeight="1" x14ac:dyDescent="0.3">
      <c r="A35" s="1030" t="s">
        <v>1003</v>
      </c>
      <c r="B35" s="1031"/>
      <c r="C35" s="1031"/>
      <c r="D35" s="1032"/>
      <c r="E35" s="980" t="s">
        <v>928</v>
      </c>
      <c r="F35" s="978" t="s">
        <v>932</v>
      </c>
      <c r="G35" s="979"/>
      <c r="I35" s="865"/>
      <c r="K35" s="1029"/>
      <c r="L35" s="1029"/>
    </row>
    <row r="36" spans="1:12" ht="12.75" customHeight="1" x14ac:dyDescent="0.3">
      <c r="A36" s="1033"/>
      <c r="B36" s="1034"/>
      <c r="C36" s="1034"/>
      <c r="D36" s="1035"/>
      <c r="E36" s="981"/>
      <c r="F36" s="954" t="s">
        <v>929</v>
      </c>
      <c r="G36" s="954" t="s">
        <v>643</v>
      </c>
      <c r="I36" s="865"/>
    </row>
    <row r="37" spans="1:12" ht="12.75" customHeight="1" x14ac:dyDescent="0.3">
      <c r="A37" s="982"/>
      <c r="B37" s="982"/>
      <c r="C37" s="982"/>
      <c r="D37" s="982"/>
      <c r="E37" s="940"/>
      <c r="F37" s="940"/>
      <c r="G37" s="959">
        <f>IF($D$9,E37/$D$9,0)</f>
        <v>0</v>
      </c>
    </row>
    <row r="38" spans="1:12" ht="12.75" customHeight="1" x14ac:dyDescent="0.3">
      <c r="A38" s="982"/>
      <c r="B38" s="982"/>
      <c r="C38" s="982"/>
      <c r="D38" s="982"/>
      <c r="E38" s="940"/>
      <c r="F38" s="940"/>
      <c r="G38" s="959">
        <f t="shared" ref="G38:G39" si="2">IF($D$9,E38/$D$9,0)</f>
        <v>0</v>
      </c>
    </row>
    <row r="39" spans="1:12" ht="12.75" customHeight="1" x14ac:dyDescent="0.3">
      <c r="A39" s="982"/>
      <c r="B39" s="982"/>
      <c r="C39" s="982"/>
      <c r="D39" s="982"/>
      <c r="E39" s="940"/>
      <c r="F39" s="940"/>
      <c r="G39" s="959">
        <f t="shared" si="2"/>
        <v>0</v>
      </c>
    </row>
    <row r="40" spans="1:12" ht="12.75" customHeight="1" x14ac:dyDescent="0.3">
      <c r="A40" s="1024" t="s">
        <v>751</v>
      </c>
      <c r="B40" s="1024"/>
      <c r="C40" s="1024"/>
      <c r="D40" s="1024"/>
      <c r="E40" s="952">
        <f>SUM(E37:E39)</f>
        <v>0</v>
      </c>
      <c r="F40" s="952">
        <f t="shared" ref="F40" si="3">SUM(F37:F39)</f>
        <v>0</v>
      </c>
      <c r="G40" s="962">
        <f>SUM(G37:G39)</f>
        <v>0</v>
      </c>
    </row>
    <row r="41" spans="1:12" ht="12.75" customHeight="1" x14ac:dyDescent="0.3">
      <c r="A41" s="1007" t="s">
        <v>1011</v>
      </c>
      <c r="B41" s="1008"/>
      <c r="C41" s="1008"/>
      <c r="D41" s="1008"/>
      <c r="E41" s="1008"/>
      <c r="F41" s="1008"/>
      <c r="G41" s="1009"/>
    </row>
    <row r="42" spans="1:12" ht="65.099999999999994" customHeight="1" x14ac:dyDescent="0.3">
      <c r="A42" s="1001"/>
      <c r="B42" s="1002"/>
      <c r="C42" s="1002"/>
      <c r="D42" s="1002"/>
      <c r="E42" s="1002"/>
      <c r="F42" s="1002"/>
      <c r="G42" s="1003"/>
    </row>
    <row r="43" spans="1:12" ht="12.75" customHeight="1" x14ac:dyDescent="0.3"/>
    <row r="44" spans="1:12" ht="12.75" customHeight="1" x14ac:dyDescent="0.3"/>
    <row r="45" spans="1:12" ht="15.95" customHeight="1" x14ac:dyDescent="0.3">
      <c r="A45" s="1004" t="s">
        <v>1002</v>
      </c>
      <c r="B45" s="1005"/>
      <c r="C45" s="1005"/>
      <c r="D45" s="1005"/>
      <c r="E45" s="1005"/>
      <c r="F45" s="1005"/>
      <c r="G45" s="1006"/>
    </row>
    <row r="46" spans="1:12" ht="12.75" customHeight="1" x14ac:dyDescent="0.3">
      <c r="A46" s="1010" t="s">
        <v>1003</v>
      </c>
      <c r="B46" s="1011"/>
      <c r="C46" s="1011"/>
      <c r="D46" s="1012"/>
      <c r="E46" s="980" t="s">
        <v>928</v>
      </c>
      <c r="F46" s="978" t="s">
        <v>932</v>
      </c>
      <c r="G46" s="979"/>
      <c r="I46" s="865"/>
    </row>
    <row r="47" spans="1:12" ht="12.75" customHeight="1" x14ac:dyDescent="0.3">
      <c r="A47" s="1013"/>
      <c r="B47" s="1014"/>
      <c r="C47" s="1014"/>
      <c r="D47" s="1015"/>
      <c r="E47" s="981"/>
      <c r="F47" s="954" t="s">
        <v>929</v>
      </c>
      <c r="G47" s="954" t="s">
        <v>643</v>
      </c>
      <c r="I47" s="865"/>
    </row>
    <row r="48" spans="1:12" ht="12.75" customHeight="1" x14ac:dyDescent="0.3">
      <c r="A48" s="982"/>
      <c r="B48" s="982"/>
      <c r="C48" s="982"/>
      <c r="D48" s="982"/>
      <c r="E48" s="940"/>
      <c r="F48" s="940"/>
      <c r="G48" s="959">
        <f t="shared" ref="G48:G53" si="4">IF($D$9,E48/$D$9,0)</f>
        <v>0</v>
      </c>
    </row>
    <row r="49" spans="1:7" ht="12.75" customHeight="1" x14ac:dyDescent="0.3">
      <c r="A49" s="982"/>
      <c r="B49" s="982"/>
      <c r="C49" s="982"/>
      <c r="D49" s="982"/>
      <c r="E49" s="940"/>
      <c r="F49" s="940"/>
      <c r="G49" s="959">
        <f t="shared" si="4"/>
        <v>0</v>
      </c>
    </row>
    <row r="50" spans="1:7" ht="12.75" customHeight="1" x14ac:dyDescent="0.3">
      <c r="A50" s="982"/>
      <c r="B50" s="982"/>
      <c r="C50" s="982"/>
      <c r="D50" s="982"/>
      <c r="E50" s="940"/>
      <c r="F50" s="940"/>
      <c r="G50" s="959">
        <f t="shared" si="4"/>
        <v>0</v>
      </c>
    </row>
    <row r="51" spans="1:7" ht="12.75" customHeight="1" x14ac:dyDescent="0.3">
      <c r="A51" s="982"/>
      <c r="B51" s="982"/>
      <c r="C51" s="982"/>
      <c r="D51" s="982"/>
      <c r="E51" s="940"/>
      <c r="F51" s="940"/>
      <c r="G51" s="959">
        <f t="shared" si="4"/>
        <v>0</v>
      </c>
    </row>
    <row r="52" spans="1:7" ht="12.75" customHeight="1" x14ac:dyDescent="0.3">
      <c r="A52" s="982"/>
      <c r="B52" s="982"/>
      <c r="C52" s="982"/>
      <c r="D52" s="982"/>
      <c r="E52" s="940"/>
      <c r="F52" s="940"/>
      <c r="G52" s="959">
        <f t="shared" si="4"/>
        <v>0</v>
      </c>
    </row>
    <row r="53" spans="1:7" ht="12.75" customHeight="1" x14ac:dyDescent="0.3">
      <c r="A53" s="982"/>
      <c r="B53" s="982"/>
      <c r="C53" s="982"/>
      <c r="D53" s="982"/>
      <c r="E53" s="940"/>
      <c r="F53" s="940"/>
      <c r="G53" s="959">
        <f t="shared" si="4"/>
        <v>0</v>
      </c>
    </row>
    <row r="54" spans="1:7" ht="12.75" customHeight="1" x14ac:dyDescent="0.3">
      <c r="A54" s="1016" t="s">
        <v>751</v>
      </c>
      <c r="B54" s="1017"/>
      <c r="C54" s="1017"/>
      <c r="D54" s="1018"/>
      <c r="E54" s="952">
        <f>SUM(E48:E53)</f>
        <v>0</v>
      </c>
      <c r="F54" s="952">
        <f t="shared" ref="F54" si="5">SUM(F48:F53)</f>
        <v>0</v>
      </c>
      <c r="G54" s="962">
        <f>SUM(G48:G53)</f>
        <v>0</v>
      </c>
    </row>
    <row r="55" spans="1:7" ht="12.75" customHeight="1" x14ac:dyDescent="0.3">
      <c r="A55" s="998" t="s">
        <v>1011</v>
      </c>
      <c r="B55" s="999"/>
      <c r="C55" s="999"/>
      <c r="D55" s="999"/>
      <c r="E55" s="999"/>
      <c r="F55" s="999"/>
      <c r="G55" s="1000"/>
    </row>
    <row r="56" spans="1:7" ht="65.099999999999994" customHeight="1" x14ac:dyDescent="0.3">
      <c r="A56" s="1001"/>
      <c r="B56" s="1002"/>
      <c r="C56" s="1002"/>
      <c r="D56" s="1002"/>
      <c r="E56" s="1002"/>
      <c r="F56" s="1002"/>
      <c r="G56" s="1003"/>
    </row>
    <row r="57" spans="1:7" ht="16.5" hidden="1" customHeight="1" x14ac:dyDescent="0.3">
      <c r="A57" s="983" t="s">
        <v>930</v>
      </c>
      <c r="B57" s="983"/>
      <c r="C57" s="983"/>
      <c r="D57" s="984"/>
    </row>
    <row r="58" spans="1:7" ht="30.75" hidden="1" customHeight="1" x14ac:dyDescent="0.3">
      <c r="A58" s="963" t="s">
        <v>2</v>
      </c>
      <c r="B58" s="964"/>
      <c r="C58" s="965"/>
      <c r="D58" s="874" t="s">
        <v>895</v>
      </c>
      <c r="E58" s="357" t="s">
        <v>633</v>
      </c>
      <c r="F58" s="357" t="s">
        <v>897</v>
      </c>
      <c r="G58" s="358" t="s">
        <v>10</v>
      </c>
    </row>
    <row r="59" spans="1:7" ht="12.75" hidden="1" customHeight="1" x14ac:dyDescent="0.3">
      <c r="A59" s="359" t="s">
        <v>638</v>
      </c>
      <c r="B59" s="360"/>
      <c r="C59" s="875"/>
      <c r="D59" s="893"/>
      <c r="E59" s="946" t="e">
        <f>+D59*#REF!</f>
        <v>#REF!</v>
      </c>
      <c r="F59" s="949" t="e">
        <f>+E59+D59</f>
        <v>#REF!</v>
      </c>
      <c r="G59" s="939">
        <f>IF(D59,(F59-D59)/D59,0)</f>
        <v>0</v>
      </c>
    </row>
    <row r="60" spans="1:7" ht="12.75" hidden="1" customHeight="1" x14ac:dyDescent="0.3">
      <c r="A60" s="359" t="s">
        <v>635</v>
      </c>
      <c r="B60" s="360"/>
      <c r="C60" s="361"/>
      <c r="D60" s="894"/>
      <c r="E60" s="947" t="e">
        <f>+D60*#REF!</f>
        <v>#REF!</v>
      </c>
      <c r="F60" s="950" t="e">
        <f>+E60+D60</f>
        <v>#REF!</v>
      </c>
      <c r="G60" s="941">
        <f t="shared" ref="G60:G62" si="6">IF(D60,(F60-D60)/D60,0)</f>
        <v>0</v>
      </c>
    </row>
    <row r="61" spans="1:7" ht="12.75" hidden="1" customHeight="1" x14ac:dyDescent="0.3">
      <c r="A61" s="359" t="s">
        <v>636</v>
      </c>
      <c r="B61" s="360"/>
      <c r="C61" s="361"/>
      <c r="D61" s="894"/>
      <c r="E61" s="947" t="e">
        <f>+D61*#REF!</f>
        <v>#REF!</v>
      </c>
      <c r="F61" s="950" t="e">
        <f>+E61+D61</f>
        <v>#REF!</v>
      </c>
      <c r="G61" s="941">
        <f t="shared" si="6"/>
        <v>0</v>
      </c>
    </row>
    <row r="62" spans="1:7" ht="12.75" hidden="1" customHeight="1" x14ac:dyDescent="0.3">
      <c r="A62" s="362" t="s">
        <v>637</v>
      </c>
      <c r="B62" s="363"/>
      <c r="C62" s="364"/>
      <c r="D62" s="895"/>
      <c r="E62" s="948" t="e">
        <f>+D62*#REF!</f>
        <v>#REF!</v>
      </c>
      <c r="F62" s="951" t="e">
        <f>+E62+D62</f>
        <v>#REF!</v>
      </c>
      <c r="G62" s="942">
        <f t="shared" si="6"/>
        <v>0</v>
      </c>
    </row>
    <row r="63" spans="1:7" ht="12.75" hidden="1" customHeight="1" x14ac:dyDescent="0.3">
      <c r="A63" s="870" t="s">
        <v>894</v>
      </c>
      <c r="B63" s="371"/>
      <c r="C63" s="371"/>
      <c r="D63" s="374"/>
      <c r="E63" s="374"/>
      <c r="F63" s="374"/>
      <c r="G63" s="373"/>
    </row>
    <row r="64" spans="1:7" ht="12.75" hidden="1" customHeight="1" x14ac:dyDescent="0.3">
      <c r="A64" s="365"/>
      <c r="B64" s="354"/>
      <c r="C64" s="354"/>
    </row>
    <row r="65" spans="1:8" s="354" customFormat="1" ht="12.75" hidden="1" customHeight="1" x14ac:dyDescent="0.25">
      <c r="A65" s="345" t="s">
        <v>931</v>
      </c>
      <c r="D65" s="366"/>
      <c r="E65" s="349"/>
      <c r="F65" s="366"/>
      <c r="G65" s="367"/>
    </row>
    <row r="66" spans="1:8" s="354" customFormat="1" ht="27" hidden="1" customHeight="1" x14ac:dyDescent="0.2">
      <c r="A66" s="975" t="s">
        <v>2</v>
      </c>
      <c r="B66" s="976"/>
      <c r="C66" s="977"/>
      <c r="D66" s="885" t="s">
        <v>901</v>
      </c>
      <c r="E66" s="888" t="s">
        <v>905</v>
      </c>
      <c r="F66" s="885" t="s">
        <v>902</v>
      </c>
      <c r="G66" s="864" t="s">
        <v>906</v>
      </c>
    </row>
    <row r="67" spans="1:8" s="354" customFormat="1" ht="12.75" hidden="1" customHeight="1" x14ac:dyDescent="0.2">
      <c r="A67" s="368" t="s">
        <v>639</v>
      </c>
      <c r="B67" s="368"/>
      <c r="C67" s="369"/>
      <c r="D67" s="943">
        <f>IF(D60,D60/D59,0)</f>
        <v>0</v>
      </c>
      <c r="E67" s="943">
        <v>1.1000000000000001</v>
      </c>
      <c r="F67" s="943" t="e">
        <f>IF(F60,F60/F59,0)</f>
        <v>#REF!</v>
      </c>
      <c r="G67" s="943" t="e">
        <f>+F67-E67</f>
        <v>#REF!</v>
      </c>
    </row>
    <row r="68" spans="1:8" s="354" customFormat="1" ht="12.75" hidden="1" customHeight="1" x14ac:dyDescent="0.2">
      <c r="A68" s="370" t="s">
        <v>640</v>
      </c>
      <c r="B68" s="370"/>
      <c r="C68" s="361"/>
      <c r="D68" s="944">
        <f>IF(D62,D62/D61,0)</f>
        <v>0</v>
      </c>
      <c r="E68" s="944">
        <v>1.1000000000000001</v>
      </c>
      <c r="F68" s="944" t="e">
        <f>IF(F62,F62/F61,0)</f>
        <v>#REF!</v>
      </c>
      <c r="G68" s="944" t="e">
        <f>+F68-E68</f>
        <v>#REF!</v>
      </c>
    </row>
    <row r="69" spans="1:8" s="354" customFormat="1" ht="12.75" hidden="1" customHeight="1" x14ac:dyDescent="0.2">
      <c r="A69" s="370" t="s">
        <v>641</v>
      </c>
      <c r="B69" s="370"/>
      <c r="C69" s="361"/>
      <c r="D69" s="944">
        <f>IF(D59,D61/D59,0)</f>
        <v>0</v>
      </c>
      <c r="E69" s="944">
        <v>3</v>
      </c>
      <c r="F69" s="944" t="e">
        <f>IF(F59,F61/F59,0)</f>
        <v>#REF!</v>
      </c>
      <c r="G69" s="944" t="e">
        <f>+F69-E69</f>
        <v>#REF!</v>
      </c>
    </row>
    <row r="70" spans="1:8" s="354" customFormat="1" ht="12.75" hidden="1" customHeight="1" x14ac:dyDescent="0.2">
      <c r="A70" s="372" t="s">
        <v>642</v>
      </c>
      <c r="B70" s="372"/>
      <c r="C70" s="364"/>
      <c r="D70" s="945">
        <f>IF(D60,D62/D60,0)</f>
        <v>0</v>
      </c>
      <c r="E70" s="945">
        <v>3</v>
      </c>
      <c r="F70" s="945" t="e">
        <f>IF(F60,F62/F60,0)</f>
        <v>#REF!</v>
      </c>
      <c r="G70" s="945" t="e">
        <f>+F70-E70</f>
        <v>#REF!</v>
      </c>
    </row>
    <row r="71" spans="1:8" s="354" customFormat="1" ht="12.75" hidden="1" customHeight="1" x14ac:dyDescent="0.2">
      <c r="A71" s="997" t="s">
        <v>896</v>
      </c>
      <c r="B71" s="997"/>
      <c r="C71" s="997"/>
      <c r="D71" s="997"/>
      <c r="E71" s="997"/>
      <c r="F71" s="997"/>
      <c r="G71" s="997"/>
      <c r="H71" s="869"/>
    </row>
    <row r="72" spans="1:8" s="354" customFormat="1" ht="12.75" hidden="1" customHeight="1" x14ac:dyDescent="0.2">
      <c r="A72" s="997"/>
      <c r="B72" s="997"/>
      <c r="C72" s="997"/>
      <c r="D72" s="997"/>
      <c r="E72" s="997"/>
      <c r="F72" s="997"/>
      <c r="G72" s="997"/>
      <c r="H72" s="869"/>
    </row>
    <row r="73" spans="1:8" s="354" customFormat="1" ht="12.75" hidden="1" customHeight="1" x14ac:dyDescent="0.2">
      <c r="A73" s="997"/>
      <c r="B73" s="997"/>
      <c r="C73" s="997"/>
      <c r="D73" s="997"/>
      <c r="E73" s="997"/>
      <c r="F73" s="997"/>
      <c r="G73" s="997"/>
      <c r="H73" s="869"/>
    </row>
  </sheetData>
  <mergeCells count="48">
    <mergeCell ref="A20:D20"/>
    <mergeCell ref="A8:B8"/>
    <mergeCell ref="A9:B9"/>
    <mergeCell ref="A12:G12"/>
    <mergeCell ref="A13:D14"/>
    <mergeCell ref="E13:E14"/>
    <mergeCell ref="F13:G13"/>
    <mergeCell ref="A15:D15"/>
    <mergeCell ref="A16:D16"/>
    <mergeCell ref="A17:D17"/>
    <mergeCell ref="A18:D18"/>
    <mergeCell ref="A19:D19"/>
    <mergeCell ref="A21:D21"/>
    <mergeCell ref="A22:G22"/>
    <mergeCell ref="A23:G23"/>
    <mergeCell ref="A26:G26"/>
    <mergeCell ref="A27:D29"/>
    <mergeCell ref="E27:E28"/>
    <mergeCell ref="F27:G27"/>
    <mergeCell ref="A41:G41"/>
    <mergeCell ref="A30:G30"/>
    <mergeCell ref="A31:G31"/>
    <mergeCell ref="A34:G34"/>
    <mergeCell ref="A35:D36"/>
    <mergeCell ref="E35:E36"/>
    <mergeCell ref="F35:G35"/>
    <mergeCell ref="K35:L35"/>
    <mergeCell ref="A37:D37"/>
    <mergeCell ref="A38:D38"/>
    <mergeCell ref="A39:D39"/>
    <mergeCell ref="A40:D40"/>
    <mergeCell ref="A54:D54"/>
    <mergeCell ref="A42:G42"/>
    <mergeCell ref="A45:G45"/>
    <mergeCell ref="A46:D47"/>
    <mergeCell ref="E46:E47"/>
    <mergeCell ref="F46:G46"/>
    <mergeCell ref="A48:D48"/>
    <mergeCell ref="A49:D49"/>
    <mergeCell ref="A50:D50"/>
    <mergeCell ref="A51:D51"/>
    <mergeCell ref="A52:D52"/>
    <mergeCell ref="A53:D53"/>
    <mergeCell ref="A55:G55"/>
    <mergeCell ref="A56:G56"/>
    <mergeCell ref="A57:D57"/>
    <mergeCell ref="A66:C66"/>
    <mergeCell ref="A71:G73"/>
  </mergeCells>
  <dataValidations count="2">
    <dataValidation type="list" allowBlank="1" showInputMessage="1" showErrorMessage="1" error="Please select institution from drop down menu" prompt="Click here to Select" sqref="G4">
      <formula1>"Dixie State University,Salt Lake Community College,Snow College,Southern Utah University,University of Utah,Utah State University,Utah Valley University,Weber State University"</formula1>
    </dataValidation>
    <dataValidation type="list" allowBlank="1" showInputMessage="1" showErrorMessage="1" sqref="A9:B9">
      <formula1>"Education &amp; General,School of Medicine,School of Law,School of Dentistry,Eastern,Regional Campus,Correction Facility Program"</formula1>
    </dataValidation>
  </dataValidations>
  <printOptions horizontalCentered="1"/>
  <pageMargins left="0.75" right="0.75" top="0.75" bottom="0.75" header="0.3" footer="0.3"/>
  <pageSetup scale="71" fitToHeight="2" orientation="portrait" r:id="rId1"/>
  <headerFooter>
    <oddFooter>&amp;L&amp;"Arial Narrow,Regular"&amp;10Revised: February 13, 2019&amp;R&amp;"Arial Narrow,Regular"&amp;10&amp;F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1"/>
  <sheetViews>
    <sheetView view="pageBreakPreview" zoomScale="80" zoomScaleNormal="100" zoomScaleSheetLayoutView="80" workbookViewId="0">
      <selection activeCell="F40" sqref="F40"/>
    </sheetView>
  </sheetViews>
  <sheetFormatPr defaultRowHeight="16.5" x14ac:dyDescent="0.3"/>
  <cols>
    <col min="1" max="1" width="24.28515625" style="124" customWidth="1"/>
    <col min="2" max="7" width="14.7109375" style="124" customWidth="1"/>
    <col min="8" max="8" width="16.7109375" style="124" customWidth="1"/>
    <col min="9" max="9" width="14.7109375" style="124" customWidth="1"/>
    <col min="10" max="16384" width="9.140625" style="124"/>
  </cols>
  <sheetData>
    <row r="1" spans="1:10" x14ac:dyDescent="0.3">
      <c r="A1" s="125" t="s">
        <v>0</v>
      </c>
      <c r="I1" s="933" t="s">
        <v>201</v>
      </c>
    </row>
    <row r="2" spans="1:10" x14ac:dyDescent="0.3">
      <c r="A2" s="899" t="s">
        <v>933</v>
      </c>
    </row>
    <row r="4" spans="1:10" x14ac:dyDescent="0.3">
      <c r="A4" s="904" t="s">
        <v>934</v>
      </c>
      <c r="B4" s="905"/>
      <c r="C4" s="905"/>
      <c r="D4" s="905"/>
      <c r="E4" s="905"/>
      <c r="F4" s="905"/>
      <c r="G4" s="905"/>
      <c r="H4" s="905"/>
      <c r="I4" s="906"/>
    </row>
    <row r="5" spans="1:10" ht="51.75" customHeight="1" x14ac:dyDescent="0.3">
      <c r="A5" s="907"/>
      <c r="B5" s="908" t="s">
        <v>935</v>
      </c>
      <c r="C5" s="908" t="s">
        <v>936</v>
      </c>
      <c r="D5" s="908" t="s">
        <v>937</v>
      </c>
      <c r="E5" s="908" t="s">
        <v>938</v>
      </c>
      <c r="F5" s="908" t="s">
        <v>939</v>
      </c>
      <c r="G5" s="908" t="s">
        <v>975</v>
      </c>
      <c r="H5" s="908" t="s">
        <v>940</v>
      </c>
      <c r="I5" s="909" t="s">
        <v>941</v>
      </c>
    </row>
    <row r="6" spans="1:10" x14ac:dyDescent="0.3">
      <c r="A6" s="907" t="s">
        <v>662</v>
      </c>
      <c r="B6" s="935">
        <f>247249400+350800+34642700+663200</f>
        <v>282906100</v>
      </c>
      <c r="C6" s="911">
        <f>+B6*1.05</f>
        <v>297051405</v>
      </c>
      <c r="D6" s="911">
        <f>+B6/$D$10</f>
        <v>7325.378042465044</v>
      </c>
      <c r="E6" s="912">
        <f>+B6/$E$10</f>
        <v>9217.1519386552955</v>
      </c>
      <c r="F6" s="911">
        <f>+B6/$F$10</f>
        <v>32880.76476057648</v>
      </c>
      <c r="G6" s="911">
        <f>+D6*1.02</f>
        <v>7471.8856033143447</v>
      </c>
      <c r="H6" s="911">
        <f>+E6*1.02</f>
        <v>9401.4949774284014</v>
      </c>
      <c r="I6" s="913">
        <f>+F6*1.02</f>
        <v>33538.380055788009</v>
      </c>
      <c r="J6" s="123"/>
    </row>
    <row r="7" spans="1:10" x14ac:dyDescent="0.3">
      <c r="A7" s="907" t="s">
        <v>942</v>
      </c>
      <c r="B7" s="935">
        <f>286000000+28903357+8197848</f>
        <v>323101205</v>
      </c>
      <c r="C7" s="911">
        <f t="shared" ref="C7:C9" si="0">+B7*1.05</f>
        <v>339256265.25</v>
      </c>
      <c r="D7" s="911">
        <f t="shared" ref="D7:D9" si="1">+B7/$D$10</f>
        <v>8366.1627395132055</v>
      </c>
      <c r="E7" s="911">
        <f t="shared" ref="E7:E9" si="2">+B7/$E$10</f>
        <v>10526.718575695653</v>
      </c>
      <c r="F7" s="911">
        <f t="shared" ref="F7:F9" si="3">+B7/$F$10</f>
        <v>37552.441306369132</v>
      </c>
      <c r="G7" s="911">
        <f t="shared" ref="G7:I9" si="4">+D7*1.02</f>
        <v>8533.4859943034699</v>
      </c>
      <c r="H7" s="911">
        <f t="shared" si="4"/>
        <v>10737.252947209567</v>
      </c>
      <c r="I7" s="913">
        <f t="shared" si="4"/>
        <v>38303.490132496518</v>
      </c>
      <c r="J7" s="123"/>
    </row>
    <row r="8" spans="1:10" x14ac:dyDescent="0.3">
      <c r="A8" s="907" t="s">
        <v>943</v>
      </c>
      <c r="B8" s="910">
        <f>536410535-534102300+502100+2800000</f>
        <v>5610335</v>
      </c>
      <c r="C8" s="911">
        <f t="shared" si="0"/>
        <v>5890851.75</v>
      </c>
      <c r="D8" s="911">
        <f t="shared" si="1"/>
        <v>145.27019678922838</v>
      </c>
      <c r="E8" s="911">
        <f t="shared" si="2"/>
        <v>182.78612628626834</v>
      </c>
      <c r="F8" s="911">
        <f t="shared" si="3"/>
        <v>652.06125058112502</v>
      </c>
      <c r="G8" s="911">
        <f t="shared" si="4"/>
        <v>148.17560072501294</v>
      </c>
      <c r="H8" s="911">
        <f t="shared" si="4"/>
        <v>186.44184881199371</v>
      </c>
      <c r="I8" s="913">
        <f t="shared" si="4"/>
        <v>665.10247559274751</v>
      </c>
    </row>
    <row r="9" spans="1:10" x14ac:dyDescent="0.3">
      <c r="A9" s="914" t="s">
        <v>944</v>
      </c>
      <c r="B9" s="911">
        <f>SUM(B6:B8)</f>
        <v>611617640</v>
      </c>
      <c r="C9" s="911">
        <f t="shared" si="0"/>
        <v>642198522</v>
      </c>
      <c r="D9" s="911">
        <f t="shared" si="1"/>
        <v>15836.810978767478</v>
      </c>
      <c r="E9" s="911">
        <f t="shared" si="2"/>
        <v>19926.656640637219</v>
      </c>
      <c r="F9" s="911">
        <f t="shared" si="3"/>
        <v>71085.267317526726</v>
      </c>
      <c r="G9" s="911">
        <f t="shared" si="4"/>
        <v>16153.547198342829</v>
      </c>
      <c r="H9" s="911">
        <f t="shared" si="4"/>
        <v>20325.189773449962</v>
      </c>
      <c r="I9" s="913">
        <f t="shared" si="4"/>
        <v>72506.972663877255</v>
      </c>
    </row>
    <row r="10" spans="1:10" s="902" customFormat="1" x14ac:dyDescent="0.3">
      <c r="A10" s="915"/>
      <c r="B10" s="911"/>
      <c r="C10" s="911"/>
      <c r="D10" s="935">
        <v>38620</v>
      </c>
      <c r="E10" s="935">
        <v>30693.439999999999</v>
      </c>
      <c r="F10" s="935">
        <v>8604</v>
      </c>
      <c r="G10" s="911"/>
      <c r="H10" s="911"/>
      <c r="I10" s="913"/>
    </row>
    <row r="11" spans="1:10" x14ac:dyDescent="0.3">
      <c r="A11" s="916"/>
      <c r="B11" s="917"/>
      <c r="C11" s="917"/>
      <c r="D11" s="917"/>
      <c r="E11" s="917"/>
      <c r="F11" s="917"/>
      <c r="G11" s="917"/>
      <c r="H11" s="917"/>
      <c r="I11" s="918"/>
    </row>
    <row r="12" spans="1:10" x14ac:dyDescent="0.3">
      <c r="A12" s="904" t="s">
        <v>976</v>
      </c>
      <c r="B12" s="905"/>
      <c r="C12" s="905"/>
      <c r="D12" s="905"/>
      <c r="E12" s="905"/>
      <c r="F12" s="905"/>
      <c r="G12" s="905"/>
      <c r="H12" s="905"/>
      <c r="I12" s="906"/>
    </row>
    <row r="13" spans="1:10" s="900" customFormat="1" ht="33" x14ac:dyDescent="0.3">
      <c r="A13" s="926" t="s">
        <v>945</v>
      </c>
      <c r="B13" s="908" t="s">
        <v>946</v>
      </c>
      <c r="C13" s="925" t="s">
        <v>662</v>
      </c>
      <c r="D13" s="925" t="s">
        <v>663</v>
      </c>
      <c r="E13" s="925" t="s">
        <v>178</v>
      </c>
      <c r="F13" s="925" t="s">
        <v>751</v>
      </c>
      <c r="G13" s="908" t="s">
        <v>947</v>
      </c>
      <c r="H13" s="908" t="s">
        <v>948</v>
      </c>
      <c r="I13" s="921"/>
    </row>
    <row r="14" spans="1:10" x14ac:dyDescent="0.3">
      <c r="A14" s="922" t="s">
        <v>904</v>
      </c>
      <c r="B14" s="935">
        <f>+(0.951650213403708)*31870</f>
        <v>30329.092301176173</v>
      </c>
      <c r="C14" s="935"/>
      <c r="D14" s="935"/>
      <c r="E14" s="935"/>
      <c r="F14" s="911">
        <f>SUM(C14:E14)</f>
        <v>0</v>
      </c>
      <c r="G14" s="923">
        <f t="shared" ref="G14" si="5">IF(F14,C14/F14,0)</f>
        <v>0</v>
      </c>
      <c r="H14" s="923">
        <f>IF(F14,D14/F14,0)</f>
        <v>0</v>
      </c>
      <c r="I14" s="924"/>
      <c r="J14" s="123"/>
    </row>
    <row r="15" spans="1:10" x14ac:dyDescent="0.3">
      <c r="A15" s="922" t="s">
        <v>993</v>
      </c>
      <c r="B15" s="910">
        <f>+(0.0419639657250839)*31870</f>
        <v>1337.391587658424</v>
      </c>
      <c r="C15" s="910"/>
      <c r="D15" s="910"/>
      <c r="E15" s="910"/>
      <c r="F15" s="911">
        <f t="shared" ref="F15:F21" si="6">SUM(C15:E15)</f>
        <v>0</v>
      </c>
      <c r="G15" s="923">
        <f>IF(F15,C15/F15,0)</f>
        <v>0</v>
      </c>
      <c r="H15" s="923">
        <f t="shared" ref="H15:H21" si="7">IF(F15,D15/F15,0)</f>
        <v>0</v>
      </c>
      <c r="I15" s="924"/>
    </row>
    <row r="16" spans="1:10" x14ac:dyDescent="0.3">
      <c r="A16" s="922" t="s">
        <v>994</v>
      </c>
      <c r="B16" s="910">
        <f>+(0.00641840158993907)*31870</f>
        <v>204.55445867135816</v>
      </c>
      <c r="C16" s="910"/>
      <c r="D16" s="910"/>
      <c r="E16" s="910"/>
      <c r="F16" s="911">
        <f t="shared" ref="F16" si="8">SUM(C16:E16)</f>
        <v>0</v>
      </c>
      <c r="G16" s="923">
        <f>IF(F16,C16/F16,0)</f>
        <v>0</v>
      </c>
      <c r="H16" s="923">
        <f t="shared" ref="H16" si="9">IF(F16,D16/F16,0)</f>
        <v>0</v>
      </c>
      <c r="I16" s="924"/>
    </row>
    <row r="17" spans="1:10" x14ac:dyDescent="0.3">
      <c r="A17" s="922" t="s">
        <v>945</v>
      </c>
      <c r="B17" s="910"/>
      <c r="C17" s="910"/>
      <c r="D17" s="910"/>
      <c r="E17" s="910"/>
      <c r="F17" s="911">
        <f t="shared" si="6"/>
        <v>0</v>
      </c>
      <c r="G17" s="923">
        <f t="shared" ref="G17:G21" si="10">IF(F17,C17/F17,0)</f>
        <v>0</v>
      </c>
      <c r="H17" s="923">
        <f t="shared" si="7"/>
        <v>0</v>
      </c>
      <c r="I17" s="924"/>
    </row>
    <row r="18" spans="1:10" x14ac:dyDescent="0.3">
      <c r="A18" s="922" t="s">
        <v>945</v>
      </c>
      <c r="B18" s="910"/>
      <c r="C18" s="910"/>
      <c r="D18" s="910"/>
      <c r="E18" s="910"/>
      <c r="F18" s="911">
        <f t="shared" si="6"/>
        <v>0</v>
      </c>
      <c r="G18" s="923">
        <f t="shared" si="10"/>
        <v>0</v>
      </c>
      <c r="H18" s="923">
        <f t="shared" si="7"/>
        <v>0</v>
      </c>
      <c r="I18" s="924"/>
    </row>
    <row r="19" spans="1:10" x14ac:dyDescent="0.3">
      <c r="A19" s="922" t="s">
        <v>945</v>
      </c>
      <c r="B19" s="910"/>
      <c r="C19" s="910"/>
      <c r="D19" s="910"/>
      <c r="E19" s="910"/>
      <c r="F19" s="911">
        <f t="shared" si="6"/>
        <v>0</v>
      </c>
      <c r="G19" s="923">
        <f t="shared" si="10"/>
        <v>0</v>
      </c>
      <c r="H19" s="923">
        <f t="shared" si="7"/>
        <v>0</v>
      </c>
      <c r="I19" s="924"/>
    </row>
    <row r="20" spans="1:10" x14ac:dyDescent="0.3">
      <c r="A20" s="922" t="s">
        <v>945</v>
      </c>
      <c r="B20" s="910"/>
      <c r="C20" s="910"/>
      <c r="D20" s="910"/>
      <c r="E20" s="910"/>
      <c r="F20" s="911">
        <f t="shared" si="6"/>
        <v>0</v>
      </c>
      <c r="G20" s="923">
        <f t="shared" si="10"/>
        <v>0</v>
      </c>
      <c r="H20" s="923">
        <f t="shared" si="7"/>
        <v>0</v>
      </c>
      <c r="I20" s="924"/>
    </row>
    <row r="21" spans="1:10" x14ac:dyDescent="0.3">
      <c r="A21" s="914" t="s">
        <v>949</v>
      </c>
      <c r="B21" s="911">
        <f>SUM(B14:B20)</f>
        <v>31871.038347505957</v>
      </c>
      <c r="C21" s="911">
        <f>SUM(C14:C20)</f>
        <v>0</v>
      </c>
      <c r="D21" s="911">
        <f>SUM(D14:D20)</f>
        <v>0</v>
      </c>
      <c r="E21" s="911">
        <f>SUM(E14:E20)</f>
        <v>0</v>
      </c>
      <c r="F21" s="911">
        <f t="shared" si="6"/>
        <v>0</v>
      </c>
      <c r="G21" s="923">
        <f t="shared" si="10"/>
        <v>0</v>
      </c>
      <c r="H21" s="923">
        <f t="shared" si="7"/>
        <v>0</v>
      </c>
      <c r="I21" s="924"/>
    </row>
    <row r="22" spans="1:10" x14ac:dyDescent="0.3">
      <c r="A22" s="914" t="s">
        <v>950</v>
      </c>
      <c r="B22" s="911"/>
      <c r="C22" s="911">
        <f>+C21/$B$21</f>
        <v>0</v>
      </c>
      <c r="D22" s="911">
        <f t="shared" ref="D22:F22" si="11">+D21/$B$21</f>
        <v>0</v>
      </c>
      <c r="E22" s="911">
        <f t="shared" si="11"/>
        <v>0</v>
      </c>
      <c r="F22" s="911">
        <f t="shared" si="11"/>
        <v>0</v>
      </c>
      <c r="G22" s="911"/>
      <c r="H22" s="911"/>
      <c r="I22" s="924"/>
    </row>
    <row r="23" spans="1:10" x14ac:dyDescent="0.3">
      <c r="A23" s="916"/>
      <c r="B23" s="917"/>
      <c r="C23" s="917"/>
      <c r="D23" s="917"/>
      <c r="E23" s="917"/>
      <c r="F23" s="917"/>
      <c r="G23" s="917"/>
      <c r="H23" s="917"/>
      <c r="I23" s="918"/>
    </row>
    <row r="24" spans="1:10" x14ac:dyDescent="0.3">
      <c r="A24" s="904" t="s">
        <v>951</v>
      </c>
      <c r="B24" s="905"/>
      <c r="C24" s="905"/>
      <c r="D24" s="905"/>
      <c r="E24" s="905"/>
      <c r="F24" s="905"/>
      <c r="G24" s="905"/>
      <c r="H24" s="905"/>
      <c r="I24" s="906"/>
    </row>
    <row r="25" spans="1:10" x14ac:dyDescent="0.3">
      <c r="A25" s="907"/>
      <c r="B25" s="1036" t="s">
        <v>952</v>
      </c>
      <c r="C25" s="1037"/>
      <c r="D25" s="1037"/>
      <c r="E25" s="18"/>
      <c r="F25" s="1036" t="s">
        <v>974</v>
      </c>
      <c r="G25" s="1037"/>
      <c r="H25" s="1037"/>
      <c r="I25" s="924"/>
    </row>
    <row r="26" spans="1:10" x14ac:dyDescent="0.3">
      <c r="A26" s="907"/>
      <c r="B26" s="925" t="s">
        <v>662</v>
      </c>
      <c r="C26" s="925" t="s">
        <v>663</v>
      </c>
      <c r="D26" s="925" t="s">
        <v>751</v>
      </c>
      <c r="E26" s="925"/>
      <c r="F26" s="925" t="s">
        <v>662</v>
      </c>
      <c r="G26" s="925" t="s">
        <v>663</v>
      </c>
      <c r="H26" s="925" t="s">
        <v>751</v>
      </c>
      <c r="I26" s="924"/>
    </row>
    <row r="27" spans="1:10" x14ac:dyDescent="0.3">
      <c r="A27" s="907" t="s">
        <v>953</v>
      </c>
      <c r="B27" s="935">
        <f>9091633+50400+466700</f>
        <v>9608733</v>
      </c>
      <c r="C27" s="935">
        <v>3488098</v>
      </c>
      <c r="D27" s="911">
        <f>+B27+C27</f>
        <v>13096831</v>
      </c>
      <c r="E27" s="911"/>
      <c r="F27" s="910"/>
      <c r="G27" s="910"/>
      <c r="H27" s="911">
        <f>SUM(F27:G27)</f>
        <v>0</v>
      </c>
      <c r="I27" s="924"/>
      <c r="J27" s="123"/>
    </row>
    <row r="28" spans="1:10" x14ac:dyDescent="0.3">
      <c r="A28" s="907" t="s">
        <v>977</v>
      </c>
      <c r="B28" s="935">
        <v>8500000</v>
      </c>
      <c r="C28" s="935"/>
      <c r="D28" s="911">
        <f t="shared" ref="D28:D30" si="12">+B28+C28</f>
        <v>8500000</v>
      </c>
      <c r="E28" s="911"/>
      <c r="F28" s="910"/>
      <c r="G28" s="910"/>
      <c r="H28" s="911">
        <f t="shared" ref="H28:H30" si="13">SUM(F28:G28)</f>
        <v>0</v>
      </c>
      <c r="I28" s="924"/>
    </row>
    <row r="29" spans="1:10" x14ac:dyDescent="0.3">
      <c r="A29" s="907" t="s">
        <v>954</v>
      </c>
      <c r="B29" s="935"/>
      <c r="C29" s="935"/>
      <c r="D29" s="911">
        <f t="shared" si="12"/>
        <v>0</v>
      </c>
      <c r="E29" s="911"/>
      <c r="F29" s="910"/>
      <c r="G29" s="910"/>
      <c r="H29" s="911">
        <f t="shared" si="13"/>
        <v>0</v>
      </c>
      <c r="I29" s="924"/>
    </row>
    <row r="30" spans="1:10" x14ac:dyDescent="0.3">
      <c r="A30" s="907" t="s">
        <v>955</v>
      </c>
      <c r="B30" s="935"/>
      <c r="C30" s="935"/>
      <c r="D30" s="911">
        <f t="shared" si="12"/>
        <v>0</v>
      </c>
      <c r="E30" s="911"/>
      <c r="F30" s="910"/>
      <c r="G30" s="910"/>
      <c r="H30" s="911">
        <f t="shared" si="13"/>
        <v>0</v>
      </c>
      <c r="I30" s="924"/>
    </row>
    <row r="31" spans="1:10" x14ac:dyDescent="0.3">
      <c r="A31" s="914" t="s">
        <v>751</v>
      </c>
      <c r="B31" s="911">
        <f>SUM(B27:B30)</f>
        <v>18108733</v>
      </c>
      <c r="C31" s="911">
        <f t="shared" ref="C31:D31" si="14">SUM(C27:C30)</f>
        <v>3488098</v>
      </c>
      <c r="D31" s="911">
        <f t="shared" si="14"/>
        <v>21596831</v>
      </c>
      <c r="E31" s="911"/>
      <c r="F31" s="911">
        <f>SUM(F27:F30)</f>
        <v>0</v>
      </c>
      <c r="G31" s="911">
        <f t="shared" ref="G31:H31" si="15">SUM(G27:G30)</f>
        <v>0</v>
      </c>
      <c r="H31" s="911">
        <f t="shared" si="15"/>
        <v>0</v>
      </c>
      <c r="I31" s="924"/>
    </row>
    <row r="32" spans="1:10" x14ac:dyDescent="0.3">
      <c r="A32" s="907"/>
      <c r="B32" s="18"/>
      <c r="C32" s="18"/>
      <c r="D32" s="18"/>
      <c r="E32" s="18"/>
      <c r="F32" s="18"/>
      <c r="G32" s="18"/>
      <c r="H32" s="18"/>
      <c r="I32" s="924"/>
    </row>
    <row r="33" spans="1:10" ht="32.25" customHeight="1" x14ac:dyDescent="0.3">
      <c r="A33" s="1038" t="s">
        <v>956</v>
      </c>
      <c r="B33" s="1039"/>
      <c r="C33" s="908" t="s">
        <v>957</v>
      </c>
      <c r="D33" s="908" t="s">
        <v>958</v>
      </c>
      <c r="E33" s="925" t="s">
        <v>959</v>
      </c>
      <c r="F33" s="18"/>
      <c r="G33" s="18"/>
      <c r="H33" s="18"/>
      <c r="I33" s="924"/>
    </row>
    <row r="34" spans="1:10" x14ac:dyDescent="0.3">
      <c r="A34" s="1040" t="s">
        <v>960</v>
      </c>
      <c r="B34" s="1037"/>
      <c r="C34" s="910"/>
      <c r="D34" s="923">
        <f>IF(D21,C34/D21-1,0)</f>
        <v>0</v>
      </c>
      <c r="E34" s="911"/>
      <c r="F34" s="18"/>
      <c r="G34" s="18"/>
      <c r="H34" s="18"/>
      <c r="I34" s="924"/>
    </row>
    <row r="35" spans="1:10" x14ac:dyDescent="0.3">
      <c r="A35" s="1038" t="s">
        <v>961</v>
      </c>
      <c r="B35" s="1039"/>
      <c r="C35" s="910"/>
      <c r="D35" s="923">
        <f>IF(C21,C35/C21-1,0)</f>
        <v>0</v>
      </c>
      <c r="E35" s="911"/>
      <c r="F35" s="18"/>
      <c r="G35" s="18"/>
      <c r="H35" s="18"/>
      <c r="I35" s="924"/>
    </row>
    <row r="36" spans="1:10" x14ac:dyDescent="0.3">
      <c r="A36" s="907"/>
      <c r="B36" s="927" t="s">
        <v>962</v>
      </c>
      <c r="C36" s="911">
        <f>SUM(C34:C35)</f>
        <v>0</v>
      </c>
      <c r="D36" s="923">
        <f>IF((C21+D21),C36/(C21+D21),0)</f>
        <v>0</v>
      </c>
      <c r="E36" s="928">
        <v>0.05</v>
      </c>
      <c r="F36" s="18"/>
      <c r="G36" s="18"/>
      <c r="H36" s="18"/>
      <c r="I36" s="924"/>
    </row>
    <row r="37" spans="1:10" x14ac:dyDescent="0.3">
      <c r="A37" s="907"/>
      <c r="B37" s="927"/>
      <c r="C37" s="911"/>
      <c r="D37" s="911"/>
      <c r="E37" s="928"/>
      <c r="F37" s="18"/>
      <c r="G37" s="18"/>
      <c r="H37" s="18"/>
      <c r="I37" s="924"/>
    </row>
    <row r="38" spans="1:10" x14ac:dyDescent="0.3">
      <c r="A38" s="904" t="s">
        <v>983</v>
      </c>
      <c r="B38" s="905"/>
      <c r="C38" s="905"/>
      <c r="D38" s="905"/>
      <c r="E38" s="905"/>
      <c r="F38" s="905"/>
      <c r="G38" s="905"/>
      <c r="H38" s="905"/>
      <c r="I38" s="906"/>
    </row>
    <row r="39" spans="1:10" ht="49.5" x14ac:dyDescent="0.3">
      <c r="A39" s="907"/>
      <c r="B39" s="925" t="s">
        <v>963</v>
      </c>
      <c r="C39" s="925" t="s">
        <v>964</v>
      </c>
      <c r="D39" s="925" t="s">
        <v>965</v>
      </c>
      <c r="E39" s="925" t="s">
        <v>203</v>
      </c>
      <c r="F39" s="925" t="s">
        <v>966</v>
      </c>
      <c r="G39" s="925" t="s">
        <v>967</v>
      </c>
      <c r="H39" s="925" t="s">
        <v>968</v>
      </c>
      <c r="I39" s="909" t="s">
        <v>981</v>
      </c>
      <c r="J39" s="901"/>
    </row>
    <row r="40" spans="1:10" ht="33" x14ac:dyDescent="0.3">
      <c r="A40" s="929" t="s">
        <v>984</v>
      </c>
      <c r="B40" s="935">
        <v>8824</v>
      </c>
      <c r="C40" s="935">
        <v>9222</v>
      </c>
      <c r="D40" s="911">
        <f>+C40-B40</f>
        <v>398</v>
      </c>
      <c r="E40" s="930">
        <f>+D40/B40</f>
        <v>4.5104261106074343E-2</v>
      </c>
      <c r="F40" s="934">
        <v>1.9E-2</v>
      </c>
      <c r="G40" s="934">
        <v>2.8000000000000001E-2</v>
      </c>
      <c r="H40" s="934">
        <v>1.6E-2</v>
      </c>
      <c r="I40" s="936">
        <v>0.14799999999999999</v>
      </c>
    </row>
    <row r="41" spans="1:10" x14ac:dyDescent="0.3">
      <c r="A41" s="929"/>
      <c r="B41" s="18"/>
      <c r="C41" s="18"/>
      <c r="D41" s="18"/>
      <c r="E41" s="18"/>
      <c r="F41" s="18"/>
      <c r="G41" s="18"/>
      <c r="H41" s="18"/>
      <c r="I41" s="924"/>
    </row>
    <row r="42" spans="1:10" x14ac:dyDescent="0.3">
      <c r="A42" s="932" t="s">
        <v>969</v>
      </c>
      <c r="B42" s="18"/>
      <c r="C42" s="18"/>
      <c r="D42" s="18"/>
      <c r="E42" s="18"/>
      <c r="F42" s="18"/>
      <c r="G42" s="18"/>
      <c r="H42" s="18"/>
      <c r="I42" s="924"/>
    </row>
    <row r="43" spans="1:10" ht="33" customHeight="1" x14ac:dyDescent="0.3">
      <c r="A43" s="907"/>
      <c r="B43" s="908" t="s">
        <v>979</v>
      </c>
      <c r="C43" s="908" t="s">
        <v>980</v>
      </c>
      <c r="D43" s="908" t="s">
        <v>978</v>
      </c>
      <c r="E43" s="908" t="s">
        <v>971</v>
      </c>
      <c r="F43" s="908" t="s">
        <v>970</v>
      </c>
      <c r="I43" s="924"/>
    </row>
    <row r="44" spans="1:10" x14ac:dyDescent="0.3">
      <c r="A44" s="907" t="s">
        <v>972</v>
      </c>
      <c r="B44" s="935">
        <v>7277</v>
      </c>
      <c r="C44" s="935">
        <v>12073</v>
      </c>
      <c r="D44" s="935">
        <v>14402</v>
      </c>
      <c r="E44" s="935">
        <v>19</v>
      </c>
      <c r="F44" s="935">
        <v>21</v>
      </c>
      <c r="I44" s="924"/>
      <c r="J44" s="123"/>
    </row>
    <row r="45" spans="1:10" x14ac:dyDescent="0.3">
      <c r="A45" s="907" t="s">
        <v>973</v>
      </c>
      <c r="B45" s="935">
        <v>7277</v>
      </c>
      <c r="C45" s="935">
        <v>10344</v>
      </c>
      <c r="D45" s="935">
        <v>12532</v>
      </c>
      <c r="E45" s="935">
        <v>6</v>
      </c>
      <c r="F45" s="935">
        <v>8</v>
      </c>
      <c r="I45" s="924"/>
    </row>
    <row r="46" spans="1:10" x14ac:dyDescent="0.3">
      <c r="A46" s="907" t="s">
        <v>982</v>
      </c>
      <c r="B46" s="935">
        <v>7449</v>
      </c>
      <c r="C46" s="935">
        <v>12209</v>
      </c>
      <c r="D46" s="935">
        <v>19080</v>
      </c>
      <c r="E46" s="935">
        <v>10</v>
      </c>
      <c r="F46" s="935">
        <v>11</v>
      </c>
      <c r="I46" s="924"/>
    </row>
    <row r="47" spans="1:10" x14ac:dyDescent="0.3">
      <c r="A47" s="907" t="s">
        <v>995</v>
      </c>
      <c r="B47" s="935">
        <v>4443</v>
      </c>
      <c r="C47" s="935">
        <v>11276</v>
      </c>
      <c r="D47" s="935">
        <v>19080</v>
      </c>
      <c r="E47" s="935">
        <v>83</v>
      </c>
      <c r="F47" s="935">
        <v>102</v>
      </c>
      <c r="I47" s="924"/>
      <c r="J47" s="123"/>
    </row>
    <row r="48" spans="1:10" x14ac:dyDescent="0.3">
      <c r="A48" s="916"/>
      <c r="B48" s="917"/>
      <c r="C48" s="917"/>
      <c r="D48" s="917"/>
      <c r="E48" s="917"/>
      <c r="F48" s="917"/>
      <c r="G48" s="917"/>
      <c r="H48" s="917"/>
      <c r="I48" s="918"/>
    </row>
    <row r="49" spans="1:4" x14ac:dyDescent="0.3">
      <c r="A49" s="124" t="s">
        <v>985</v>
      </c>
      <c r="B49" s="903"/>
      <c r="C49" s="903"/>
      <c r="D49" s="903"/>
    </row>
    <row r="50" spans="1:4" x14ac:dyDescent="0.3">
      <c r="A50" s="124" t="s">
        <v>999</v>
      </c>
      <c r="B50" s="903"/>
      <c r="C50" s="903"/>
      <c r="D50" s="903"/>
    </row>
    <row r="51" spans="1:4" x14ac:dyDescent="0.3">
      <c r="A51" s="124" t="s">
        <v>986</v>
      </c>
      <c r="B51" s="903"/>
      <c r="C51" s="903"/>
      <c r="D51" s="903"/>
    </row>
    <row r="52" spans="1:4" x14ac:dyDescent="0.3">
      <c r="A52" s="124" t="s">
        <v>987</v>
      </c>
      <c r="B52" s="903"/>
      <c r="C52" s="903"/>
      <c r="D52" s="903"/>
    </row>
    <row r="53" spans="1:4" x14ac:dyDescent="0.3">
      <c r="A53" s="124" t="s">
        <v>988</v>
      </c>
      <c r="B53" s="903"/>
      <c r="C53" s="903"/>
      <c r="D53" s="903"/>
    </row>
    <row r="54" spans="1:4" x14ac:dyDescent="0.3">
      <c r="A54" s="124" t="s">
        <v>996</v>
      </c>
      <c r="B54" s="903"/>
      <c r="C54" s="903"/>
      <c r="D54" s="903"/>
    </row>
    <row r="55" spans="1:4" x14ac:dyDescent="0.3">
      <c r="B55" s="903"/>
      <c r="C55" s="903"/>
      <c r="D55" s="903"/>
    </row>
    <row r="56" spans="1:4" x14ac:dyDescent="0.3">
      <c r="B56" s="903"/>
      <c r="C56" s="903"/>
      <c r="D56" s="903"/>
    </row>
    <row r="57" spans="1:4" x14ac:dyDescent="0.3">
      <c r="B57" s="903"/>
      <c r="C57" s="903"/>
      <c r="D57" s="903"/>
    </row>
    <row r="58" spans="1:4" x14ac:dyDescent="0.3">
      <c r="B58" s="903"/>
      <c r="C58" s="903"/>
      <c r="D58" s="903"/>
    </row>
    <row r="59" spans="1:4" x14ac:dyDescent="0.3">
      <c r="B59" s="903"/>
      <c r="C59" s="903"/>
      <c r="D59" s="903"/>
    </row>
    <row r="60" spans="1:4" x14ac:dyDescent="0.3">
      <c r="B60" s="903"/>
      <c r="C60" s="903"/>
      <c r="D60" s="903"/>
    </row>
    <row r="61" spans="1:4" x14ac:dyDescent="0.3">
      <c r="B61" s="903"/>
      <c r="C61" s="903"/>
      <c r="D61" s="903"/>
    </row>
  </sheetData>
  <mergeCells count="5">
    <mergeCell ref="B25:D25"/>
    <mergeCell ref="F25:H25"/>
    <mergeCell ref="A33:B33"/>
    <mergeCell ref="A34:B34"/>
    <mergeCell ref="A35:B35"/>
  </mergeCells>
  <pageMargins left="0.7" right="0.7" top="0.75" bottom="0.75" header="0.3" footer="0.3"/>
  <pageSetup scale="5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2"/>
  <sheetViews>
    <sheetView view="pageBreakPreview" zoomScale="80" zoomScaleNormal="100" zoomScaleSheetLayoutView="80" workbookViewId="0">
      <selection activeCell="H40" sqref="H40"/>
    </sheetView>
  </sheetViews>
  <sheetFormatPr defaultRowHeight="16.5" x14ac:dyDescent="0.3"/>
  <cols>
    <col min="1" max="1" width="24.28515625" style="124" customWidth="1"/>
    <col min="2" max="7" width="14.7109375" style="124" customWidth="1"/>
    <col min="8" max="8" width="16.7109375" style="124" customWidth="1"/>
    <col min="9" max="9" width="14.7109375" style="124" customWidth="1"/>
    <col min="10" max="16384" width="9.140625" style="124"/>
  </cols>
  <sheetData>
    <row r="1" spans="1:14" x14ac:dyDescent="0.3">
      <c r="A1" s="125" t="s">
        <v>0</v>
      </c>
      <c r="I1" s="933" t="s">
        <v>200</v>
      </c>
    </row>
    <row r="2" spans="1:14" x14ac:dyDescent="0.3">
      <c r="A2" s="899" t="s">
        <v>933</v>
      </c>
    </row>
    <row r="4" spans="1:14" x14ac:dyDescent="0.3">
      <c r="A4" s="904" t="s">
        <v>934</v>
      </c>
      <c r="B4" s="905"/>
      <c r="C4" s="905"/>
      <c r="D4" s="905"/>
      <c r="E4" s="905"/>
      <c r="F4" s="905"/>
      <c r="G4" s="905"/>
      <c r="H4" s="905"/>
      <c r="I4" s="906"/>
    </row>
    <row r="5" spans="1:14" ht="51.75" customHeight="1" x14ac:dyDescent="0.3">
      <c r="A5" s="907"/>
      <c r="B5" s="908" t="s">
        <v>935</v>
      </c>
      <c r="C5" s="908" t="s">
        <v>936</v>
      </c>
      <c r="D5" s="908" t="s">
        <v>937</v>
      </c>
      <c r="E5" s="908" t="s">
        <v>938</v>
      </c>
      <c r="F5" s="908" t="s">
        <v>939</v>
      </c>
      <c r="G5" s="908" t="s">
        <v>975</v>
      </c>
      <c r="H5" s="908" t="s">
        <v>940</v>
      </c>
      <c r="I5" s="909" t="s">
        <v>941</v>
      </c>
    </row>
    <row r="6" spans="1:14" x14ac:dyDescent="0.3">
      <c r="A6" s="907" t="s">
        <v>662</v>
      </c>
      <c r="B6" s="935">
        <f>142215200-1370100+12067100+4175100+864800+5058200+3221400+2927700</f>
        <v>169159400</v>
      </c>
      <c r="C6" s="911">
        <f>+B6*1.05</f>
        <v>177617370</v>
      </c>
      <c r="D6" s="911">
        <f>+B6/$D$10</f>
        <v>5361.4592247472347</v>
      </c>
      <c r="E6" s="912">
        <f>+B6/$E$10</f>
        <v>7194.2925190320248</v>
      </c>
      <c r="F6" s="911">
        <f>+B6/$F$10</f>
        <v>25468.142125865703</v>
      </c>
      <c r="G6" s="911">
        <f>+D6*1.02</f>
        <v>5468.6884092421797</v>
      </c>
      <c r="H6" s="911">
        <f>+E6*1.02</f>
        <v>7338.1783694126652</v>
      </c>
      <c r="I6" s="913">
        <f>+F6*1.02</f>
        <v>25977.504968383018</v>
      </c>
    </row>
    <row r="7" spans="1:14" x14ac:dyDescent="0.3">
      <c r="A7" s="907" t="s">
        <v>942</v>
      </c>
      <c r="B7" s="935">
        <f>120873737+2664460+2330328+1929279+12622076+9059736+1207502</f>
        <v>150687118</v>
      </c>
      <c r="C7" s="911">
        <f t="shared" ref="C7:C9" si="0">+B7*1.05</f>
        <v>158221473.90000001</v>
      </c>
      <c r="D7" s="911">
        <f t="shared" ref="D7:D9" si="1">+B7/$D$10</f>
        <v>4775.9854838198471</v>
      </c>
      <c r="E7" s="911">
        <f t="shared" ref="E7:E9" si="2">+B7/$E$10</f>
        <v>6408.672564113469</v>
      </c>
      <c r="F7" s="911">
        <f t="shared" ref="F7:F9" si="3">+B7/$F$10</f>
        <v>22687.009635651913</v>
      </c>
      <c r="G7" s="911">
        <f t="shared" ref="G7:I10" si="4">+D7*1.02</f>
        <v>4871.5051934962439</v>
      </c>
      <c r="H7" s="911">
        <f t="shared" si="4"/>
        <v>6536.8460153957385</v>
      </c>
      <c r="I7" s="913">
        <f t="shared" si="4"/>
        <v>23140.749828364951</v>
      </c>
    </row>
    <row r="8" spans="1:14" x14ac:dyDescent="0.3">
      <c r="A8" s="907" t="s">
        <v>943</v>
      </c>
      <c r="B8" s="910">
        <f>271119906+14548847+6281723+2478267+17962431+11544607+4166994-B6-B7</f>
        <v>8256257</v>
      </c>
      <c r="C8" s="911">
        <f t="shared" si="0"/>
        <v>8669069.8499999996</v>
      </c>
      <c r="D8" s="911">
        <f t="shared" si="1"/>
        <v>261.67972488986084</v>
      </c>
      <c r="E8" s="911">
        <f t="shared" si="2"/>
        <v>351.13583974822438</v>
      </c>
      <c r="F8" s="911">
        <f t="shared" si="3"/>
        <v>1243.0377898223426</v>
      </c>
      <c r="G8" s="911">
        <f t="shared" si="4"/>
        <v>266.91331938765808</v>
      </c>
      <c r="H8" s="911">
        <f t="shared" si="4"/>
        <v>358.15855654318887</v>
      </c>
      <c r="I8" s="913">
        <f t="shared" si="4"/>
        <v>1267.8985456187895</v>
      </c>
    </row>
    <row r="9" spans="1:14" x14ac:dyDescent="0.3">
      <c r="A9" s="914" t="s">
        <v>944</v>
      </c>
      <c r="B9" s="911">
        <f>SUM(B6:B8)</f>
        <v>328102775</v>
      </c>
      <c r="C9" s="911">
        <f t="shared" si="0"/>
        <v>344507913.75</v>
      </c>
      <c r="D9" s="911">
        <f t="shared" si="1"/>
        <v>10399.124433456942</v>
      </c>
      <c r="E9" s="911">
        <f t="shared" si="2"/>
        <v>13954.100922893718</v>
      </c>
      <c r="F9" s="911">
        <f t="shared" si="3"/>
        <v>49398.189551339958</v>
      </c>
      <c r="G9" s="911">
        <f t="shared" si="4"/>
        <v>10607.10692212608</v>
      </c>
      <c r="H9" s="911">
        <f t="shared" si="4"/>
        <v>14233.182941351593</v>
      </c>
      <c r="I9" s="913">
        <f t="shared" si="4"/>
        <v>50386.153342366757</v>
      </c>
      <c r="N9" s="910"/>
    </row>
    <row r="10" spans="1:14" s="902" customFormat="1" x14ac:dyDescent="0.3">
      <c r="A10" s="915"/>
      <c r="B10" s="911"/>
      <c r="C10" s="911"/>
      <c r="D10" s="935">
        <v>31551</v>
      </c>
      <c r="E10" s="935">
        <v>23513</v>
      </c>
      <c r="F10" s="935">
        <v>6642</v>
      </c>
      <c r="G10" s="911">
        <f t="shared" si="4"/>
        <v>32182.02</v>
      </c>
      <c r="H10" s="911"/>
      <c r="I10" s="913"/>
    </row>
    <row r="11" spans="1:14" x14ac:dyDescent="0.3">
      <c r="A11" s="916"/>
      <c r="B11" s="917"/>
      <c r="C11" s="917"/>
      <c r="D11" s="917"/>
      <c r="E11" s="917"/>
      <c r="F11" s="917"/>
      <c r="G11" s="917"/>
      <c r="H11" s="917"/>
      <c r="I11" s="918"/>
    </row>
    <row r="12" spans="1:14" x14ac:dyDescent="0.3">
      <c r="A12" s="904" t="s">
        <v>976</v>
      </c>
      <c r="B12" s="905"/>
      <c r="C12" s="905"/>
      <c r="D12" s="905"/>
      <c r="E12" s="905"/>
      <c r="F12" s="905"/>
      <c r="G12" s="905"/>
      <c r="H12" s="905"/>
      <c r="I12" s="906"/>
    </row>
    <row r="13" spans="1:14" s="900" customFormat="1" ht="33" x14ac:dyDescent="0.3">
      <c r="A13" s="926" t="s">
        <v>945</v>
      </c>
      <c r="B13" s="908" t="s">
        <v>946</v>
      </c>
      <c r="C13" s="925" t="s">
        <v>662</v>
      </c>
      <c r="D13" s="925" t="s">
        <v>663</v>
      </c>
      <c r="E13" s="925" t="s">
        <v>178</v>
      </c>
      <c r="F13" s="925" t="s">
        <v>751</v>
      </c>
      <c r="G13" s="908" t="s">
        <v>947</v>
      </c>
      <c r="H13" s="908" t="s">
        <v>948</v>
      </c>
      <c r="I13" s="921"/>
    </row>
    <row r="14" spans="1:14" x14ac:dyDescent="0.3">
      <c r="A14" s="922" t="s">
        <v>989</v>
      </c>
      <c r="B14" s="935">
        <f>+(0.737166673754944)*24058</f>
        <v>17734.755837196444</v>
      </c>
      <c r="C14" s="935"/>
      <c r="D14" s="935"/>
      <c r="E14" s="935"/>
      <c r="F14" s="911">
        <f>SUM(C14:E14)</f>
        <v>0</v>
      </c>
      <c r="G14" s="923">
        <f t="shared" ref="G14:G21" si="5">IF(F14,C14/F14,0)</f>
        <v>0</v>
      </c>
      <c r="H14" s="923">
        <f t="shared" ref="H14:H21" si="6">IF(F14,D14/F14,0)</f>
        <v>0</v>
      </c>
      <c r="I14" s="924"/>
      <c r="J14" s="123"/>
    </row>
    <row r="15" spans="1:14" x14ac:dyDescent="0.3">
      <c r="A15" s="922" t="s">
        <v>990</v>
      </c>
      <c r="B15" s="910">
        <f>+(0.0438906137030579)*24058</f>
        <v>1055.920384468167</v>
      </c>
      <c r="C15" s="910"/>
      <c r="D15" s="910"/>
      <c r="E15" s="910"/>
      <c r="F15" s="911">
        <f t="shared" ref="F15:F21" si="7">SUM(C15:E15)</f>
        <v>0</v>
      </c>
      <c r="G15" s="923">
        <f t="shared" si="5"/>
        <v>0</v>
      </c>
      <c r="H15" s="923">
        <f t="shared" si="6"/>
        <v>0</v>
      </c>
      <c r="I15" s="924"/>
    </row>
    <row r="16" spans="1:14" x14ac:dyDescent="0.3">
      <c r="A16" s="922" t="s">
        <v>992</v>
      </c>
      <c r="B16" s="910">
        <f>+(0.0184153447029303)*24058</f>
        <v>443.03636286309717</v>
      </c>
      <c r="C16" s="910"/>
      <c r="D16" s="910"/>
      <c r="E16" s="910"/>
      <c r="F16" s="911">
        <f t="shared" ref="F16" si="8">SUM(C16:E16)</f>
        <v>0</v>
      </c>
      <c r="G16" s="923">
        <f t="shared" ref="G16" si="9">IF(F16,C16/F16,0)</f>
        <v>0</v>
      </c>
      <c r="H16" s="923">
        <f t="shared" si="6"/>
        <v>0</v>
      </c>
      <c r="I16" s="924"/>
    </row>
    <row r="17" spans="1:9" x14ac:dyDescent="0.3">
      <c r="A17" s="922" t="s">
        <v>991</v>
      </c>
      <c r="B17" s="910">
        <f>+(0.0113128907412921)*24058</f>
        <v>272.16552545400532</v>
      </c>
      <c r="C17" s="910"/>
      <c r="D17" s="910"/>
      <c r="E17" s="910"/>
      <c r="F17" s="911">
        <f t="shared" si="7"/>
        <v>0</v>
      </c>
      <c r="G17" s="923">
        <f t="shared" si="5"/>
        <v>0</v>
      </c>
      <c r="H17" s="923">
        <f t="shared" si="6"/>
        <v>0</v>
      </c>
      <c r="I17" s="924"/>
    </row>
    <row r="18" spans="1:9" x14ac:dyDescent="0.3">
      <c r="A18" s="922" t="s">
        <v>917</v>
      </c>
      <c r="B18" s="910">
        <f>+(0.11402203036618)*24058</f>
        <v>2743.1420065495586</v>
      </c>
      <c r="C18" s="910"/>
      <c r="D18" s="910"/>
      <c r="E18" s="910"/>
      <c r="F18" s="911">
        <f t="shared" si="7"/>
        <v>0</v>
      </c>
      <c r="G18" s="923">
        <f t="shared" si="5"/>
        <v>0</v>
      </c>
      <c r="H18" s="923">
        <f t="shared" si="6"/>
        <v>0</v>
      </c>
      <c r="I18" s="924"/>
    </row>
    <row r="19" spans="1:9" x14ac:dyDescent="0.3">
      <c r="A19" s="922" t="s">
        <v>918</v>
      </c>
      <c r="B19" s="910">
        <f>+(0.0588185259218305)*24058</f>
        <v>1415.0560966273981</v>
      </c>
      <c r="C19" s="910"/>
      <c r="D19" s="910"/>
      <c r="E19" s="910"/>
      <c r="F19" s="911">
        <f t="shared" si="7"/>
        <v>0</v>
      </c>
      <c r="G19" s="923">
        <f t="shared" si="5"/>
        <v>0</v>
      </c>
      <c r="H19" s="923">
        <f t="shared" si="6"/>
        <v>0</v>
      </c>
      <c r="I19" s="924"/>
    </row>
    <row r="20" spans="1:9" x14ac:dyDescent="0.3">
      <c r="A20" s="922" t="s">
        <v>919</v>
      </c>
      <c r="B20" s="910">
        <f>+(0.0163739208097648)*24058</f>
        <v>393.92378684132154</v>
      </c>
      <c r="C20" s="910"/>
      <c r="D20" s="910"/>
      <c r="E20" s="910"/>
      <c r="F20" s="911">
        <f t="shared" si="7"/>
        <v>0</v>
      </c>
      <c r="G20" s="923">
        <f t="shared" si="5"/>
        <v>0</v>
      </c>
      <c r="H20" s="923">
        <f t="shared" si="6"/>
        <v>0</v>
      </c>
      <c r="I20" s="924"/>
    </row>
    <row r="21" spans="1:9" x14ac:dyDescent="0.3">
      <c r="A21" s="914" t="s">
        <v>949</v>
      </c>
      <c r="B21" s="911">
        <f>SUM(B14:B20)</f>
        <v>24057.999999999993</v>
      </c>
      <c r="C21" s="911">
        <f>SUM(C14:C20)</f>
        <v>0</v>
      </c>
      <c r="D21" s="911">
        <f>SUM(D14:D20)</f>
        <v>0</v>
      </c>
      <c r="E21" s="911">
        <f>SUM(E14:E20)</f>
        <v>0</v>
      </c>
      <c r="F21" s="911">
        <f t="shared" si="7"/>
        <v>0</v>
      </c>
      <c r="G21" s="923">
        <f t="shared" si="5"/>
        <v>0</v>
      </c>
      <c r="H21" s="923">
        <f t="shared" si="6"/>
        <v>0</v>
      </c>
      <c r="I21" s="924"/>
    </row>
    <row r="22" spans="1:9" x14ac:dyDescent="0.3">
      <c r="A22" s="914" t="s">
        <v>950</v>
      </c>
      <c r="B22" s="911"/>
      <c r="C22" s="911">
        <f>+C21/$B$21</f>
        <v>0</v>
      </c>
      <c r="D22" s="911">
        <f t="shared" ref="D22:F22" si="10">+D21/$B$21</f>
        <v>0</v>
      </c>
      <c r="E22" s="911">
        <f t="shared" si="10"/>
        <v>0</v>
      </c>
      <c r="F22" s="911">
        <f t="shared" si="10"/>
        <v>0</v>
      </c>
      <c r="G22" s="911"/>
      <c r="H22" s="911"/>
      <c r="I22" s="924"/>
    </row>
    <row r="23" spans="1:9" x14ac:dyDescent="0.3">
      <c r="A23" s="916"/>
      <c r="B23" s="917"/>
      <c r="C23" s="917"/>
      <c r="D23" s="917"/>
      <c r="E23" s="917"/>
      <c r="F23" s="917"/>
      <c r="G23" s="917"/>
      <c r="H23" s="917"/>
      <c r="I23" s="918"/>
    </row>
    <row r="24" spans="1:9" x14ac:dyDescent="0.3">
      <c r="A24" s="904" t="s">
        <v>951</v>
      </c>
      <c r="B24" s="905"/>
      <c r="C24" s="905"/>
      <c r="D24" s="905"/>
      <c r="E24" s="905"/>
      <c r="F24" s="905"/>
      <c r="G24" s="905"/>
      <c r="H24" s="905"/>
      <c r="I24" s="906"/>
    </row>
    <row r="25" spans="1:9" x14ac:dyDescent="0.3">
      <c r="A25" s="907"/>
      <c r="B25" s="1036" t="s">
        <v>952</v>
      </c>
      <c r="C25" s="1037"/>
      <c r="D25" s="1037"/>
      <c r="E25" s="18"/>
      <c r="F25" s="1036" t="s">
        <v>974</v>
      </c>
      <c r="G25" s="1037"/>
      <c r="H25" s="1037"/>
      <c r="I25" s="924"/>
    </row>
    <row r="26" spans="1:9" x14ac:dyDescent="0.3">
      <c r="A26" s="907"/>
      <c r="B26" s="925" t="s">
        <v>662</v>
      </c>
      <c r="C26" s="925" t="s">
        <v>663</v>
      </c>
      <c r="D26" s="925" t="s">
        <v>751</v>
      </c>
      <c r="E26" s="925"/>
      <c r="F26" s="925" t="s">
        <v>662</v>
      </c>
      <c r="G26" s="925" t="s">
        <v>663</v>
      </c>
      <c r="H26" s="925" t="s">
        <v>751</v>
      </c>
      <c r="I26" s="924"/>
    </row>
    <row r="27" spans="1:9" x14ac:dyDescent="0.3">
      <c r="A27" s="907" t="s">
        <v>953</v>
      </c>
      <c r="B27" s="935">
        <f>5210580+204800+163600+12400</f>
        <v>5591380</v>
      </c>
      <c r="C27" s="935">
        <v>1746035</v>
      </c>
      <c r="D27" s="911">
        <f>+B27+C27</f>
        <v>7337415</v>
      </c>
      <c r="E27" s="911"/>
      <c r="F27" s="910"/>
      <c r="G27" s="910"/>
      <c r="H27" s="911">
        <f>SUM(F27:G27)</f>
        <v>0</v>
      </c>
      <c r="I27" s="924"/>
    </row>
    <row r="28" spans="1:9" x14ac:dyDescent="0.3">
      <c r="A28" s="907" t="s">
        <v>977</v>
      </c>
      <c r="B28" s="935">
        <v>4300000</v>
      </c>
      <c r="C28" s="935"/>
      <c r="D28" s="911">
        <f t="shared" ref="D28:D30" si="11">+B28+C28</f>
        <v>4300000</v>
      </c>
      <c r="E28" s="911"/>
      <c r="F28" s="910"/>
      <c r="G28" s="910"/>
      <c r="H28" s="911">
        <f t="shared" ref="H28:H30" si="12">SUM(F28:G28)</f>
        <v>0</v>
      </c>
      <c r="I28" s="924"/>
    </row>
    <row r="29" spans="1:9" x14ac:dyDescent="0.3">
      <c r="A29" s="907" t="s">
        <v>954</v>
      </c>
      <c r="B29" s="935"/>
      <c r="C29" s="935"/>
      <c r="D29" s="911">
        <f t="shared" si="11"/>
        <v>0</v>
      </c>
      <c r="E29" s="911"/>
      <c r="F29" s="910"/>
      <c r="G29" s="910"/>
      <c r="H29" s="911">
        <f t="shared" si="12"/>
        <v>0</v>
      </c>
      <c r="I29" s="924"/>
    </row>
    <row r="30" spans="1:9" x14ac:dyDescent="0.3">
      <c r="A30" s="907" t="s">
        <v>955</v>
      </c>
      <c r="B30" s="935"/>
      <c r="C30" s="935"/>
      <c r="D30" s="911">
        <f t="shared" si="11"/>
        <v>0</v>
      </c>
      <c r="E30" s="911"/>
      <c r="F30" s="910"/>
      <c r="G30" s="910"/>
      <c r="H30" s="911">
        <f t="shared" si="12"/>
        <v>0</v>
      </c>
      <c r="I30" s="924"/>
    </row>
    <row r="31" spans="1:9" x14ac:dyDescent="0.3">
      <c r="A31" s="914" t="s">
        <v>751</v>
      </c>
      <c r="B31" s="911">
        <f>SUM(B27:B30)</f>
        <v>9891380</v>
      </c>
      <c r="C31" s="911">
        <f t="shared" ref="C31:D31" si="13">SUM(C27:C30)</f>
        <v>1746035</v>
      </c>
      <c r="D31" s="911">
        <f t="shared" si="13"/>
        <v>11637415</v>
      </c>
      <c r="E31" s="911"/>
      <c r="F31" s="911">
        <f>SUM(F27:F30)</f>
        <v>0</v>
      </c>
      <c r="G31" s="911">
        <f t="shared" ref="G31:H31" si="14">SUM(G27:G30)</f>
        <v>0</v>
      </c>
      <c r="H31" s="911">
        <f t="shared" si="14"/>
        <v>0</v>
      </c>
      <c r="I31" s="924"/>
    </row>
    <row r="32" spans="1:9" x14ac:dyDescent="0.3">
      <c r="A32" s="907"/>
      <c r="B32" s="18"/>
      <c r="C32" s="18"/>
      <c r="D32" s="18"/>
      <c r="E32" s="18"/>
      <c r="F32" s="18"/>
      <c r="G32" s="18"/>
      <c r="H32" s="18"/>
      <c r="I32" s="924"/>
    </row>
    <row r="33" spans="1:10" ht="32.25" customHeight="1" x14ac:dyDescent="0.3">
      <c r="A33" s="1038" t="s">
        <v>956</v>
      </c>
      <c r="B33" s="1039"/>
      <c r="C33" s="908" t="s">
        <v>957</v>
      </c>
      <c r="D33" s="908" t="s">
        <v>958</v>
      </c>
      <c r="E33" s="925" t="s">
        <v>959</v>
      </c>
      <c r="F33" s="18"/>
      <c r="G33" s="18"/>
      <c r="H33" s="18"/>
      <c r="I33" s="924"/>
    </row>
    <row r="34" spans="1:10" x14ac:dyDescent="0.3">
      <c r="A34" s="1040" t="s">
        <v>960</v>
      </c>
      <c r="B34" s="1037"/>
      <c r="C34" s="910"/>
      <c r="D34" s="923">
        <f>IF(D21,C34/D21-1,0)</f>
        <v>0</v>
      </c>
      <c r="E34" s="911"/>
      <c r="F34" s="18"/>
      <c r="G34" s="18"/>
      <c r="H34" s="18"/>
      <c r="I34" s="924"/>
    </row>
    <row r="35" spans="1:10" x14ac:dyDescent="0.3">
      <c r="A35" s="1038" t="s">
        <v>961</v>
      </c>
      <c r="B35" s="1039"/>
      <c r="C35" s="910"/>
      <c r="D35" s="923">
        <f>IF(C21,C35/C21-1,0)</f>
        <v>0</v>
      </c>
      <c r="E35" s="911"/>
      <c r="F35" s="18"/>
      <c r="G35" s="18"/>
      <c r="H35" s="18"/>
      <c r="I35" s="924"/>
    </row>
    <row r="36" spans="1:10" x14ac:dyDescent="0.3">
      <c r="A36" s="907"/>
      <c r="B36" s="927" t="s">
        <v>962</v>
      </c>
      <c r="C36" s="911">
        <f>SUM(C34:C35)</f>
        <v>0</v>
      </c>
      <c r="D36" s="923">
        <f>IF((C21+D21),C36/(C21+D21),0)</f>
        <v>0</v>
      </c>
      <c r="E36" s="928">
        <v>0.05</v>
      </c>
      <c r="F36" s="18"/>
      <c r="G36" s="18"/>
      <c r="H36" s="18"/>
      <c r="I36" s="924"/>
    </row>
    <row r="37" spans="1:10" x14ac:dyDescent="0.3">
      <c r="A37" s="907"/>
      <c r="B37" s="927"/>
      <c r="C37" s="911"/>
      <c r="D37" s="911"/>
      <c r="E37" s="928"/>
      <c r="F37" s="18"/>
      <c r="G37" s="18"/>
      <c r="H37" s="18"/>
      <c r="I37" s="924"/>
    </row>
    <row r="38" spans="1:10" x14ac:dyDescent="0.3">
      <c r="A38" s="904" t="s">
        <v>983</v>
      </c>
      <c r="B38" s="905"/>
      <c r="C38" s="905"/>
      <c r="D38" s="905"/>
      <c r="E38" s="905"/>
      <c r="F38" s="905"/>
      <c r="G38" s="905"/>
      <c r="H38" s="905"/>
      <c r="I38" s="906"/>
    </row>
    <row r="39" spans="1:10" ht="49.5" x14ac:dyDescent="0.3">
      <c r="A39" s="907"/>
      <c r="B39" s="925" t="s">
        <v>963</v>
      </c>
      <c r="C39" s="925" t="s">
        <v>964</v>
      </c>
      <c r="D39" s="925" t="s">
        <v>965</v>
      </c>
      <c r="E39" s="925" t="s">
        <v>203</v>
      </c>
      <c r="F39" s="925" t="s">
        <v>966</v>
      </c>
      <c r="G39" s="925" t="s">
        <v>967</v>
      </c>
      <c r="H39" s="925" t="s">
        <v>968</v>
      </c>
      <c r="I39" s="909" t="s">
        <v>981</v>
      </c>
      <c r="J39" s="901"/>
    </row>
    <row r="40" spans="1:10" ht="33" x14ac:dyDescent="0.3">
      <c r="A40" s="929" t="s">
        <v>984</v>
      </c>
      <c r="B40" s="935">
        <v>7175</v>
      </c>
      <c r="C40" s="935">
        <v>7424</v>
      </c>
      <c r="D40" s="911">
        <f>+C40-B40</f>
        <v>249</v>
      </c>
      <c r="E40" s="930">
        <f>+D40/B40</f>
        <v>3.470383275261324E-2</v>
      </c>
      <c r="F40" s="934">
        <v>1.9E-2</v>
      </c>
      <c r="G40" s="934">
        <v>2.8000000000000001E-2</v>
      </c>
      <c r="H40" s="934">
        <v>1.6E-2</v>
      </c>
      <c r="I40" s="936">
        <v>0.11899999999999999</v>
      </c>
    </row>
    <row r="41" spans="1:10" x14ac:dyDescent="0.3">
      <c r="A41" s="929"/>
      <c r="B41" s="18"/>
      <c r="C41" s="18"/>
      <c r="D41" s="18"/>
      <c r="E41" s="18"/>
      <c r="F41" s="18"/>
      <c r="G41" s="18"/>
      <c r="H41" s="18"/>
      <c r="I41" s="924"/>
    </row>
    <row r="42" spans="1:10" x14ac:dyDescent="0.3">
      <c r="A42" s="932" t="s">
        <v>969</v>
      </c>
      <c r="B42" s="18"/>
      <c r="C42" s="18"/>
      <c r="D42" s="18"/>
      <c r="E42" s="18"/>
      <c r="F42" s="18"/>
      <c r="G42" s="18"/>
      <c r="H42" s="18"/>
      <c r="I42" s="924"/>
    </row>
    <row r="43" spans="1:10" ht="33" customHeight="1" x14ac:dyDescent="0.3">
      <c r="A43" s="907"/>
      <c r="B43" s="908" t="s">
        <v>979</v>
      </c>
      <c r="C43" s="908" t="s">
        <v>980</v>
      </c>
      <c r="D43" s="908" t="s">
        <v>978</v>
      </c>
      <c r="E43" s="908" t="s">
        <v>971</v>
      </c>
      <c r="F43" s="908" t="s">
        <v>970</v>
      </c>
      <c r="I43" s="924"/>
    </row>
    <row r="44" spans="1:10" x14ac:dyDescent="0.3">
      <c r="A44" s="907" t="s">
        <v>972</v>
      </c>
      <c r="B44" s="935">
        <v>5400</v>
      </c>
      <c r="C44" s="935">
        <v>9030</v>
      </c>
      <c r="D44" s="935">
        <v>18964</v>
      </c>
      <c r="E44" s="935">
        <v>12</v>
      </c>
      <c r="F44" s="935">
        <v>15</v>
      </c>
      <c r="I44" s="924"/>
    </row>
    <row r="45" spans="1:10" x14ac:dyDescent="0.3">
      <c r="A45" s="907" t="s">
        <v>973</v>
      </c>
      <c r="B45" s="935">
        <v>5400</v>
      </c>
      <c r="C45" s="935">
        <v>9051</v>
      </c>
      <c r="D45" s="935">
        <v>18964</v>
      </c>
      <c r="E45" s="935">
        <v>6</v>
      </c>
      <c r="F45" s="935">
        <v>9</v>
      </c>
      <c r="I45" s="924"/>
    </row>
    <row r="46" spans="1:10" x14ac:dyDescent="0.3">
      <c r="A46" s="907" t="s">
        <v>982</v>
      </c>
      <c r="B46" s="935">
        <v>4443</v>
      </c>
      <c r="C46" s="935">
        <v>8455</v>
      </c>
      <c r="D46" s="935">
        <v>11395</v>
      </c>
      <c r="E46" s="935">
        <v>8</v>
      </c>
      <c r="F46" s="935">
        <v>11</v>
      </c>
      <c r="I46" s="924"/>
    </row>
    <row r="47" spans="1:10" x14ac:dyDescent="0.3">
      <c r="A47" s="907" t="s">
        <v>995</v>
      </c>
      <c r="B47" s="935">
        <v>4443</v>
      </c>
      <c r="C47" s="935">
        <v>11276</v>
      </c>
      <c r="D47" s="935">
        <v>19080</v>
      </c>
      <c r="E47" s="935">
        <v>95</v>
      </c>
      <c r="F47" s="935">
        <v>102</v>
      </c>
      <c r="I47" s="924"/>
      <c r="J47" s="123"/>
    </row>
    <row r="48" spans="1:10" x14ac:dyDescent="0.3">
      <c r="A48" s="916"/>
      <c r="B48" s="917"/>
      <c r="C48" s="917"/>
      <c r="D48" s="917"/>
      <c r="E48" s="917"/>
      <c r="F48" s="917"/>
      <c r="G48" s="917"/>
      <c r="H48" s="917"/>
      <c r="I48" s="918"/>
    </row>
    <row r="49" spans="1:4" x14ac:dyDescent="0.3">
      <c r="A49" s="124" t="s">
        <v>985</v>
      </c>
      <c r="B49" s="903"/>
      <c r="C49" s="903"/>
      <c r="D49" s="903"/>
    </row>
    <row r="50" spans="1:4" x14ac:dyDescent="0.3">
      <c r="A50" s="124" t="s">
        <v>998</v>
      </c>
      <c r="B50" s="903"/>
      <c r="C50" s="903"/>
      <c r="D50" s="903"/>
    </row>
    <row r="51" spans="1:4" x14ac:dyDescent="0.3">
      <c r="A51" s="124" t="s">
        <v>986</v>
      </c>
      <c r="B51" s="903"/>
      <c r="C51" s="903"/>
      <c r="D51" s="903"/>
    </row>
    <row r="52" spans="1:4" x14ac:dyDescent="0.3">
      <c r="A52" s="124" t="s">
        <v>987</v>
      </c>
      <c r="B52" s="903"/>
      <c r="C52" s="903"/>
      <c r="D52" s="903"/>
    </row>
    <row r="53" spans="1:4" x14ac:dyDescent="0.3">
      <c r="A53" s="124" t="s">
        <v>988</v>
      </c>
      <c r="B53" s="903"/>
      <c r="C53" s="903"/>
      <c r="D53" s="903"/>
    </row>
    <row r="54" spans="1:4" x14ac:dyDescent="0.3">
      <c r="A54" s="124" t="s">
        <v>996</v>
      </c>
      <c r="B54" s="903"/>
      <c r="C54" s="903"/>
      <c r="D54" s="903"/>
    </row>
    <row r="55" spans="1:4" x14ac:dyDescent="0.3">
      <c r="B55" s="903"/>
      <c r="C55" s="903"/>
      <c r="D55" s="903"/>
    </row>
    <row r="56" spans="1:4" x14ac:dyDescent="0.3">
      <c r="B56" s="903"/>
      <c r="C56" s="903"/>
      <c r="D56" s="903"/>
    </row>
    <row r="57" spans="1:4" x14ac:dyDescent="0.3">
      <c r="B57" s="903"/>
      <c r="C57" s="903"/>
      <c r="D57" s="903"/>
    </row>
    <row r="58" spans="1:4" x14ac:dyDescent="0.3">
      <c r="B58" s="903"/>
      <c r="C58" s="903"/>
      <c r="D58" s="903"/>
    </row>
    <row r="59" spans="1:4" x14ac:dyDescent="0.3">
      <c r="B59" s="903"/>
      <c r="C59" s="903"/>
      <c r="D59" s="903"/>
    </row>
    <row r="60" spans="1:4" x14ac:dyDescent="0.3">
      <c r="B60" s="903"/>
      <c r="C60" s="903"/>
      <c r="D60" s="903"/>
    </row>
    <row r="61" spans="1:4" x14ac:dyDescent="0.3">
      <c r="B61" s="903"/>
      <c r="C61" s="903"/>
      <c r="D61" s="903"/>
    </row>
    <row r="62" spans="1:4" x14ac:dyDescent="0.3">
      <c r="B62" s="903"/>
      <c r="C62" s="903"/>
      <c r="D62" s="903"/>
    </row>
  </sheetData>
  <mergeCells count="5">
    <mergeCell ref="B25:D25"/>
    <mergeCell ref="F25:H25"/>
    <mergeCell ref="A33:B33"/>
    <mergeCell ref="A34:B34"/>
    <mergeCell ref="A35:B35"/>
  </mergeCells>
  <pageMargins left="0.7" right="0.7" top="0.75" bottom="0.75" header="0.3" footer="0.3"/>
  <pageSetup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2"/>
  <sheetViews>
    <sheetView view="pageBreakPreview" zoomScale="80" zoomScaleNormal="100" zoomScaleSheetLayoutView="80" workbookViewId="0"/>
  </sheetViews>
  <sheetFormatPr defaultRowHeight="16.5" x14ac:dyDescent="0.3"/>
  <cols>
    <col min="1" max="1" width="24.28515625" style="124" customWidth="1"/>
    <col min="2" max="7" width="14.7109375" style="124" customWidth="1"/>
    <col min="8" max="8" width="16.7109375" style="124" customWidth="1"/>
    <col min="9" max="9" width="14.7109375" style="124" customWidth="1"/>
    <col min="10" max="16384" width="9.140625" style="124"/>
  </cols>
  <sheetData>
    <row r="1" spans="1:9" x14ac:dyDescent="0.3">
      <c r="A1" s="125" t="s">
        <v>0</v>
      </c>
      <c r="I1" s="933" t="s">
        <v>199</v>
      </c>
    </row>
    <row r="2" spans="1:9" x14ac:dyDescent="0.3">
      <c r="A2" s="899" t="s">
        <v>933</v>
      </c>
    </row>
    <row r="4" spans="1:9" x14ac:dyDescent="0.3">
      <c r="A4" s="904" t="s">
        <v>934</v>
      </c>
      <c r="B4" s="905"/>
      <c r="C4" s="905"/>
      <c r="D4" s="905"/>
      <c r="E4" s="905"/>
      <c r="F4" s="905"/>
      <c r="G4" s="905"/>
      <c r="H4" s="905"/>
      <c r="I4" s="906"/>
    </row>
    <row r="5" spans="1:9" ht="51.75" customHeight="1" x14ac:dyDescent="0.3">
      <c r="A5" s="907"/>
      <c r="B5" s="908" t="s">
        <v>935</v>
      </c>
      <c r="C5" s="908" t="s">
        <v>936</v>
      </c>
      <c r="D5" s="908" t="s">
        <v>937</v>
      </c>
      <c r="E5" s="908" t="s">
        <v>938</v>
      </c>
      <c r="F5" s="908" t="s">
        <v>939</v>
      </c>
      <c r="G5" s="908" t="s">
        <v>975</v>
      </c>
      <c r="H5" s="908" t="s">
        <v>940</v>
      </c>
      <c r="I5" s="909" t="s">
        <v>941</v>
      </c>
    </row>
    <row r="6" spans="1:9" x14ac:dyDescent="0.3">
      <c r="A6" s="907" t="s">
        <v>662</v>
      </c>
      <c r="B6" s="910">
        <f>83469500-432200</f>
        <v>83037300</v>
      </c>
      <c r="C6" s="911">
        <f>+B6*1.05</f>
        <v>87189165</v>
      </c>
      <c r="D6" s="911">
        <f>+B6/$D$10</f>
        <v>2745.2162126421581</v>
      </c>
      <c r="E6" s="912">
        <f>+B6/$E$10</f>
        <v>4595.5669931927614</v>
      </c>
      <c r="F6" s="911">
        <f>+B6/$F$10</f>
        <v>15434.442379182155</v>
      </c>
      <c r="G6" s="911">
        <f>+D6*1.02</f>
        <v>2800.1205368950014</v>
      </c>
      <c r="H6" s="911">
        <f>+E6*1.02</f>
        <v>4687.478333056617</v>
      </c>
      <c r="I6" s="913">
        <f>+F6*1.02</f>
        <v>15743.1312267658</v>
      </c>
    </row>
    <row r="7" spans="1:9" x14ac:dyDescent="0.3">
      <c r="A7" s="907" t="s">
        <v>942</v>
      </c>
      <c r="B7" s="910">
        <v>75016488</v>
      </c>
      <c r="C7" s="911">
        <f t="shared" ref="C7:C9" si="0">+B7*1.05</f>
        <v>78767312.400000006</v>
      </c>
      <c r="D7" s="911">
        <f t="shared" ref="D7:D9" si="1">+B7/$D$10</f>
        <v>2480.0478709336153</v>
      </c>
      <c r="E7" s="911">
        <f t="shared" ref="E7:E9" si="2">+B7/$E$10</f>
        <v>4151.6679395650008</v>
      </c>
      <c r="F7" s="911">
        <f t="shared" ref="F7:F9" si="3">+B7/$F$10</f>
        <v>13943.585130111524</v>
      </c>
      <c r="G7" s="911">
        <f t="shared" ref="G7:G9" si="4">+D7*1.02</f>
        <v>2529.6488283522876</v>
      </c>
      <c r="H7" s="911">
        <f t="shared" ref="H7:H9" si="5">+E7*1.02</f>
        <v>4234.7012983563009</v>
      </c>
      <c r="I7" s="913">
        <f t="shared" ref="I7:I9" si="6">+F7*1.02</f>
        <v>14222.456832713755</v>
      </c>
    </row>
    <row r="8" spans="1:9" x14ac:dyDescent="0.3">
      <c r="A8" s="907" t="s">
        <v>943</v>
      </c>
      <c r="B8" s="910">
        <v>0</v>
      </c>
      <c r="C8" s="911">
        <f t="shared" si="0"/>
        <v>0</v>
      </c>
      <c r="D8" s="911">
        <f t="shared" si="1"/>
        <v>0</v>
      </c>
      <c r="E8" s="911">
        <f t="shared" si="2"/>
        <v>0</v>
      </c>
      <c r="F8" s="911">
        <f t="shared" si="3"/>
        <v>0</v>
      </c>
      <c r="G8" s="911">
        <f t="shared" si="4"/>
        <v>0</v>
      </c>
      <c r="H8" s="911">
        <f t="shared" si="5"/>
        <v>0</v>
      </c>
      <c r="I8" s="913">
        <f t="shared" si="6"/>
        <v>0</v>
      </c>
    </row>
    <row r="9" spans="1:9" x14ac:dyDescent="0.3">
      <c r="A9" s="914" t="s">
        <v>944</v>
      </c>
      <c r="B9" s="911">
        <f>SUM(B6:B8)</f>
        <v>158053788</v>
      </c>
      <c r="C9" s="911">
        <f t="shared" si="0"/>
        <v>165956477.40000001</v>
      </c>
      <c r="D9" s="911">
        <f t="shared" si="1"/>
        <v>5225.2640835757738</v>
      </c>
      <c r="E9" s="911">
        <f t="shared" si="2"/>
        <v>8747.2349327577613</v>
      </c>
      <c r="F9" s="911">
        <f t="shared" si="3"/>
        <v>29378.027509293679</v>
      </c>
      <c r="G9" s="911">
        <f t="shared" si="4"/>
        <v>5329.769365247289</v>
      </c>
      <c r="H9" s="911">
        <f t="shared" si="5"/>
        <v>8922.1796314129169</v>
      </c>
      <c r="I9" s="913">
        <f t="shared" si="6"/>
        <v>29965.588059479553</v>
      </c>
    </row>
    <row r="10" spans="1:9" s="902" customFormat="1" x14ac:dyDescent="0.3">
      <c r="A10" s="915"/>
      <c r="B10" s="911"/>
      <c r="C10" s="911"/>
      <c r="D10" s="910">
        <v>30248</v>
      </c>
      <c r="E10" s="910">
        <v>18069</v>
      </c>
      <c r="F10" s="910">
        <v>5380</v>
      </c>
      <c r="G10" s="911"/>
      <c r="H10" s="911"/>
      <c r="I10" s="913"/>
    </row>
    <row r="11" spans="1:9" x14ac:dyDescent="0.3">
      <c r="A11" s="916"/>
      <c r="B11" s="917"/>
      <c r="C11" s="917"/>
      <c r="D11" s="917"/>
      <c r="E11" s="917"/>
      <c r="F11" s="917"/>
      <c r="G11" s="917"/>
      <c r="H11" s="917"/>
      <c r="I11" s="918"/>
    </row>
    <row r="12" spans="1:9" x14ac:dyDescent="0.3">
      <c r="A12" s="904" t="s">
        <v>976</v>
      </c>
      <c r="B12" s="905"/>
      <c r="C12" s="905"/>
      <c r="D12" s="905"/>
      <c r="E12" s="905"/>
      <c r="F12" s="905"/>
      <c r="G12" s="905"/>
      <c r="H12" s="905"/>
      <c r="I12" s="906"/>
    </row>
    <row r="13" spans="1:9" s="900" customFormat="1" ht="33" x14ac:dyDescent="0.3">
      <c r="A13" s="919" t="s">
        <v>945</v>
      </c>
      <c r="B13" s="908" t="s">
        <v>946</v>
      </c>
      <c r="C13" s="920" t="s">
        <v>662</v>
      </c>
      <c r="D13" s="920" t="s">
        <v>663</v>
      </c>
      <c r="E13" s="920" t="s">
        <v>178</v>
      </c>
      <c r="F13" s="920" t="s">
        <v>751</v>
      </c>
      <c r="G13" s="908" t="s">
        <v>947</v>
      </c>
      <c r="H13" s="908" t="s">
        <v>948</v>
      </c>
      <c r="I13" s="921"/>
    </row>
    <row r="14" spans="1:9" x14ac:dyDescent="0.3">
      <c r="A14" s="922" t="s">
        <v>904</v>
      </c>
      <c r="B14" s="910">
        <v>17987</v>
      </c>
      <c r="C14" s="935"/>
      <c r="D14" s="935"/>
      <c r="E14" s="935"/>
      <c r="F14" s="911">
        <f>SUM(C14:E14)</f>
        <v>0</v>
      </c>
      <c r="G14" s="923">
        <f t="shared" ref="G14:G21" si="7">IF(F14,C14/F14,0)</f>
        <v>0</v>
      </c>
      <c r="H14" s="923">
        <f t="shared" ref="H14:H21" si="8">IF(F14,D14/F14,0)</f>
        <v>0</v>
      </c>
      <c r="I14" s="924"/>
    </row>
    <row r="15" spans="1:9" x14ac:dyDescent="0.3">
      <c r="A15" s="922" t="s">
        <v>945</v>
      </c>
      <c r="B15" s="910"/>
      <c r="C15" s="910"/>
      <c r="D15" s="910"/>
      <c r="E15" s="910"/>
      <c r="F15" s="911">
        <f t="shared" ref="F15:F21" si="9">SUM(C15:E15)</f>
        <v>0</v>
      </c>
      <c r="G15" s="923">
        <f t="shared" si="7"/>
        <v>0</v>
      </c>
      <c r="H15" s="923">
        <f t="shared" si="8"/>
        <v>0</v>
      </c>
      <c r="I15" s="924"/>
    </row>
    <row r="16" spans="1:9" x14ac:dyDescent="0.3">
      <c r="A16" s="922" t="s">
        <v>945</v>
      </c>
      <c r="B16" s="910"/>
      <c r="C16" s="910"/>
      <c r="D16" s="910"/>
      <c r="E16" s="910"/>
      <c r="F16" s="911">
        <f t="shared" ref="F16" si="10">SUM(C16:E16)</f>
        <v>0</v>
      </c>
      <c r="G16" s="923">
        <f t="shared" ref="G16" si="11">IF(F16,C16/F16,0)</f>
        <v>0</v>
      </c>
      <c r="H16" s="923">
        <f t="shared" si="8"/>
        <v>0</v>
      </c>
      <c r="I16" s="924"/>
    </row>
    <row r="17" spans="1:9" x14ac:dyDescent="0.3">
      <c r="A17" s="922" t="s">
        <v>945</v>
      </c>
      <c r="B17" s="910"/>
      <c r="C17" s="910"/>
      <c r="D17" s="910"/>
      <c r="E17" s="910"/>
      <c r="F17" s="911">
        <f t="shared" si="9"/>
        <v>0</v>
      </c>
      <c r="G17" s="923">
        <f t="shared" si="7"/>
        <v>0</v>
      </c>
      <c r="H17" s="923">
        <f t="shared" si="8"/>
        <v>0</v>
      </c>
      <c r="I17" s="924"/>
    </row>
    <row r="18" spans="1:9" x14ac:dyDescent="0.3">
      <c r="A18" s="922" t="s">
        <v>945</v>
      </c>
      <c r="B18" s="910"/>
      <c r="C18" s="910"/>
      <c r="D18" s="910"/>
      <c r="E18" s="910"/>
      <c r="F18" s="911">
        <f t="shared" si="9"/>
        <v>0</v>
      </c>
      <c r="G18" s="923">
        <f t="shared" si="7"/>
        <v>0</v>
      </c>
      <c r="H18" s="923">
        <f t="shared" si="8"/>
        <v>0</v>
      </c>
      <c r="I18" s="924"/>
    </row>
    <row r="19" spans="1:9" x14ac:dyDescent="0.3">
      <c r="A19" s="922" t="s">
        <v>945</v>
      </c>
      <c r="B19" s="910"/>
      <c r="C19" s="910"/>
      <c r="D19" s="910"/>
      <c r="E19" s="910"/>
      <c r="F19" s="911">
        <f t="shared" si="9"/>
        <v>0</v>
      </c>
      <c r="G19" s="923">
        <f t="shared" si="7"/>
        <v>0</v>
      </c>
      <c r="H19" s="923">
        <f t="shared" si="8"/>
        <v>0</v>
      </c>
      <c r="I19" s="924"/>
    </row>
    <row r="20" spans="1:9" x14ac:dyDescent="0.3">
      <c r="A20" s="922" t="s">
        <v>945</v>
      </c>
      <c r="B20" s="910"/>
      <c r="C20" s="910"/>
      <c r="D20" s="910"/>
      <c r="E20" s="910"/>
      <c r="F20" s="911">
        <f t="shared" si="9"/>
        <v>0</v>
      </c>
      <c r="G20" s="923">
        <f t="shared" si="7"/>
        <v>0</v>
      </c>
      <c r="H20" s="923">
        <f t="shared" si="8"/>
        <v>0</v>
      </c>
      <c r="I20" s="924"/>
    </row>
    <row r="21" spans="1:9" x14ac:dyDescent="0.3">
      <c r="A21" s="914" t="s">
        <v>949</v>
      </c>
      <c r="B21" s="911">
        <f>SUM(B14:B20)</f>
        <v>17987</v>
      </c>
      <c r="C21" s="911">
        <f>SUM(C14:C20)</f>
        <v>0</v>
      </c>
      <c r="D21" s="911">
        <f>SUM(D14:D20)</f>
        <v>0</v>
      </c>
      <c r="E21" s="911">
        <f>SUM(E14:E20)</f>
        <v>0</v>
      </c>
      <c r="F21" s="911">
        <f t="shared" si="9"/>
        <v>0</v>
      </c>
      <c r="G21" s="923">
        <f t="shared" si="7"/>
        <v>0</v>
      </c>
      <c r="H21" s="923">
        <f t="shared" si="8"/>
        <v>0</v>
      </c>
      <c r="I21" s="924"/>
    </row>
    <row r="22" spans="1:9" x14ac:dyDescent="0.3">
      <c r="A22" s="914" t="s">
        <v>950</v>
      </c>
      <c r="B22" s="911"/>
      <c r="C22" s="911">
        <f>+C21/$B$21</f>
        <v>0</v>
      </c>
      <c r="D22" s="911">
        <f t="shared" ref="D22:F22" si="12">+D21/$B$21</f>
        <v>0</v>
      </c>
      <c r="E22" s="911">
        <f t="shared" si="12"/>
        <v>0</v>
      </c>
      <c r="F22" s="911">
        <f t="shared" si="12"/>
        <v>0</v>
      </c>
      <c r="G22" s="911"/>
      <c r="H22" s="911"/>
      <c r="I22" s="924"/>
    </row>
    <row r="23" spans="1:9" x14ac:dyDescent="0.3">
      <c r="A23" s="916"/>
      <c r="B23" s="917"/>
      <c r="C23" s="917"/>
      <c r="D23" s="917"/>
      <c r="E23" s="917"/>
      <c r="F23" s="917"/>
      <c r="G23" s="917"/>
      <c r="H23" s="917"/>
      <c r="I23" s="918"/>
    </row>
    <row r="24" spans="1:9" x14ac:dyDescent="0.3">
      <c r="A24" s="904" t="s">
        <v>951</v>
      </c>
      <c r="B24" s="905"/>
      <c r="C24" s="905"/>
      <c r="D24" s="905"/>
      <c r="E24" s="905"/>
      <c r="F24" s="905"/>
      <c r="G24" s="905"/>
      <c r="H24" s="905"/>
      <c r="I24" s="906"/>
    </row>
    <row r="25" spans="1:9" x14ac:dyDescent="0.3">
      <c r="A25" s="907"/>
      <c r="B25" s="1036" t="s">
        <v>952</v>
      </c>
      <c r="C25" s="1037"/>
      <c r="D25" s="1037"/>
      <c r="E25" s="18"/>
      <c r="F25" s="1036" t="s">
        <v>974</v>
      </c>
      <c r="G25" s="1037"/>
      <c r="H25" s="1037"/>
      <c r="I25" s="924"/>
    </row>
    <row r="26" spans="1:9" x14ac:dyDescent="0.3">
      <c r="A26" s="907"/>
      <c r="B26" s="920" t="s">
        <v>662</v>
      </c>
      <c r="C26" s="920" t="s">
        <v>663</v>
      </c>
      <c r="D26" s="920" t="s">
        <v>751</v>
      </c>
      <c r="E26" s="920"/>
      <c r="F26" s="920" t="s">
        <v>662</v>
      </c>
      <c r="G26" s="920" t="s">
        <v>663</v>
      </c>
      <c r="H26" s="920" t="s">
        <v>751</v>
      </c>
      <c r="I26" s="924"/>
    </row>
    <row r="27" spans="1:9" x14ac:dyDescent="0.3">
      <c r="A27" s="907" t="s">
        <v>953</v>
      </c>
      <c r="B27" s="935">
        <f>2329697+117700+48000</f>
        <v>2495397</v>
      </c>
      <c r="C27" s="935">
        <v>912003</v>
      </c>
      <c r="D27" s="911">
        <f>+B27+C27</f>
        <v>3407400</v>
      </c>
      <c r="E27" s="911"/>
      <c r="F27" s="910"/>
      <c r="G27" s="910"/>
      <c r="H27" s="911">
        <f>SUM(F27:G27)</f>
        <v>0</v>
      </c>
      <c r="I27" s="924"/>
    </row>
    <row r="28" spans="1:9" x14ac:dyDescent="0.3">
      <c r="A28" s="907" t="s">
        <v>977</v>
      </c>
      <c r="B28" s="935">
        <v>5500000</v>
      </c>
      <c r="C28" s="935"/>
      <c r="D28" s="911">
        <f t="shared" ref="D28:D30" si="13">+B28+C28</f>
        <v>5500000</v>
      </c>
      <c r="E28" s="911"/>
      <c r="F28" s="910"/>
      <c r="G28" s="910"/>
      <c r="H28" s="911">
        <f t="shared" ref="H28:H30" si="14">SUM(F28:G28)</f>
        <v>0</v>
      </c>
      <c r="I28" s="924"/>
    </row>
    <row r="29" spans="1:9" x14ac:dyDescent="0.3">
      <c r="A29" s="907" t="s">
        <v>954</v>
      </c>
      <c r="B29" s="935"/>
      <c r="C29" s="935"/>
      <c r="D29" s="911">
        <f t="shared" si="13"/>
        <v>0</v>
      </c>
      <c r="E29" s="911"/>
      <c r="F29" s="910"/>
      <c r="G29" s="910"/>
      <c r="H29" s="911">
        <f t="shared" si="14"/>
        <v>0</v>
      </c>
      <c r="I29" s="924"/>
    </row>
    <row r="30" spans="1:9" x14ac:dyDescent="0.3">
      <c r="A30" s="907" t="s">
        <v>955</v>
      </c>
      <c r="B30" s="935"/>
      <c r="C30" s="935"/>
      <c r="D30" s="911">
        <f t="shared" si="13"/>
        <v>0</v>
      </c>
      <c r="E30" s="911"/>
      <c r="F30" s="910"/>
      <c r="G30" s="910"/>
      <c r="H30" s="911">
        <f t="shared" si="14"/>
        <v>0</v>
      </c>
      <c r="I30" s="924"/>
    </row>
    <row r="31" spans="1:9" x14ac:dyDescent="0.3">
      <c r="A31" s="914" t="s">
        <v>751</v>
      </c>
      <c r="B31" s="911">
        <f>SUM(B27:B30)</f>
        <v>7995397</v>
      </c>
      <c r="C31" s="911">
        <f t="shared" ref="C31:D31" si="15">SUM(C27:C30)</f>
        <v>912003</v>
      </c>
      <c r="D31" s="911">
        <f t="shared" si="15"/>
        <v>8907400</v>
      </c>
      <c r="E31" s="911"/>
      <c r="F31" s="911">
        <f>SUM(F27:F30)</f>
        <v>0</v>
      </c>
      <c r="G31" s="911">
        <f t="shared" ref="G31:H31" si="16">SUM(G27:G30)</f>
        <v>0</v>
      </c>
      <c r="H31" s="911">
        <f t="shared" si="16"/>
        <v>0</v>
      </c>
      <c r="I31" s="924"/>
    </row>
    <row r="32" spans="1:9" x14ac:dyDescent="0.3">
      <c r="A32" s="907"/>
      <c r="B32" s="18"/>
      <c r="C32" s="18"/>
      <c r="D32" s="18"/>
      <c r="E32" s="18"/>
      <c r="F32" s="18"/>
      <c r="G32" s="18"/>
      <c r="H32" s="18"/>
      <c r="I32" s="924"/>
    </row>
    <row r="33" spans="1:10" ht="32.25" customHeight="1" x14ac:dyDescent="0.3">
      <c r="A33" s="1038" t="s">
        <v>956</v>
      </c>
      <c r="B33" s="1039"/>
      <c r="C33" s="908" t="s">
        <v>957</v>
      </c>
      <c r="D33" s="908" t="s">
        <v>958</v>
      </c>
      <c r="E33" s="920" t="s">
        <v>959</v>
      </c>
      <c r="F33" s="18"/>
      <c r="G33" s="18"/>
      <c r="H33" s="18"/>
      <c r="I33" s="924"/>
    </row>
    <row r="34" spans="1:10" x14ac:dyDescent="0.3">
      <c r="A34" s="1040" t="s">
        <v>960</v>
      </c>
      <c r="B34" s="1037"/>
      <c r="C34" s="910"/>
      <c r="D34" s="923">
        <f>IF(D21,C34/D21-1,0)</f>
        <v>0</v>
      </c>
      <c r="E34" s="911"/>
      <c r="F34" s="18"/>
      <c r="G34" s="18"/>
      <c r="H34" s="18"/>
      <c r="I34" s="924"/>
    </row>
    <row r="35" spans="1:10" x14ac:dyDescent="0.3">
      <c r="A35" s="1038" t="s">
        <v>961</v>
      </c>
      <c r="B35" s="1039"/>
      <c r="C35" s="910"/>
      <c r="D35" s="923">
        <f>IF(C21,C35/C21-1,0)</f>
        <v>0</v>
      </c>
      <c r="E35" s="911"/>
      <c r="F35" s="18"/>
      <c r="G35" s="18"/>
      <c r="H35" s="18"/>
      <c r="I35" s="924"/>
    </row>
    <row r="36" spans="1:10" x14ac:dyDescent="0.3">
      <c r="A36" s="907"/>
      <c r="B36" s="927" t="s">
        <v>962</v>
      </c>
      <c r="C36" s="911">
        <f>SUM(C34:C35)</f>
        <v>0</v>
      </c>
      <c r="D36" s="923">
        <f>IF((C21+D21),C36/(C21+D21),0)</f>
        <v>0</v>
      </c>
      <c r="E36" s="928">
        <v>0.05</v>
      </c>
      <c r="F36" s="18"/>
      <c r="G36" s="18"/>
      <c r="H36" s="18"/>
      <c r="I36" s="924"/>
    </row>
    <row r="37" spans="1:10" x14ac:dyDescent="0.3">
      <c r="A37" s="907"/>
      <c r="B37" s="927"/>
      <c r="C37" s="911"/>
      <c r="D37" s="911"/>
      <c r="E37" s="928"/>
      <c r="F37" s="18"/>
      <c r="G37" s="18"/>
      <c r="H37" s="18"/>
      <c r="I37" s="924"/>
    </row>
    <row r="38" spans="1:10" x14ac:dyDescent="0.3">
      <c r="A38" s="904" t="s">
        <v>983</v>
      </c>
      <c r="B38" s="905"/>
      <c r="C38" s="905"/>
      <c r="D38" s="905"/>
      <c r="E38" s="905"/>
      <c r="F38" s="905"/>
      <c r="G38" s="905"/>
      <c r="H38" s="905"/>
      <c r="I38" s="906"/>
    </row>
    <row r="39" spans="1:10" ht="49.5" x14ac:dyDescent="0.3">
      <c r="A39" s="907"/>
      <c r="B39" s="920" t="s">
        <v>963</v>
      </c>
      <c r="C39" s="920" t="s">
        <v>964</v>
      </c>
      <c r="D39" s="920" t="s">
        <v>965</v>
      </c>
      <c r="E39" s="920" t="s">
        <v>203</v>
      </c>
      <c r="F39" s="920" t="s">
        <v>966</v>
      </c>
      <c r="G39" s="920" t="s">
        <v>967</v>
      </c>
      <c r="H39" s="920" t="s">
        <v>968</v>
      </c>
      <c r="I39" s="909" t="s">
        <v>981</v>
      </c>
      <c r="J39" s="901"/>
    </row>
    <row r="40" spans="1:10" ht="33" x14ac:dyDescent="0.3">
      <c r="A40" s="929" t="s">
        <v>984</v>
      </c>
      <c r="B40" s="935">
        <v>5712</v>
      </c>
      <c r="C40" s="935">
        <v>5859</v>
      </c>
      <c r="D40" s="911">
        <f>+C40-B40</f>
        <v>147</v>
      </c>
      <c r="E40" s="930">
        <f>+D40/B40</f>
        <v>2.5735294117647058E-2</v>
      </c>
      <c r="F40" s="934">
        <v>1.9E-2</v>
      </c>
      <c r="G40" s="934">
        <v>2.8000000000000001E-2</v>
      </c>
      <c r="H40" s="934">
        <v>1.6E-2</v>
      </c>
      <c r="I40" s="931">
        <v>9.4E-2</v>
      </c>
    </row>
    <row r="41" spans="1:10" x14ac:dyDescent="0.3">
      <c r="A41" s="929"/>
      <c r="B41" s="18"/>
      <c r="C41" s="18"/>
      <c r="D41" s="18"/>
      <c r="E41" s="18"/>
      <c r="F41" s="18"/>
      <c r="G41" s="18"/>
      <c r="H41" s="18"/>
      <c r="I41" s="924"/>
    </row>
    <row r="42" spans="1:10" x14ac:dyDescent="0.3">
      <c r="A42" s="932" t="s">
        <v>969</v>
      </c>
      <c r="B42" s="18"/>
      <c r="C42" s="18"/>
      <c r="D42" s="18"/>
      <c r="E42" s="18"/>
      <c r="F42" s="18"/>
      <c r="G42" s="18"/>
      <c r="H42" s="18"/>
      <c r="I42" s="924"/>
    </row>
    <row r="43" spans="1:10" ht="33" customHeight="1" x14ac:dyDescent="0.3">
      <c r="A43" s="907"/>
      <c r="B43" s="908" t="s">
        <v>979</v>
      </c>
      <c r="C43" s="908" t="s">
        <v>980</v>
      </c>
      <c r="D43" s="908" t="s">
        <v>978</v>
      </c>
      <c r="E43" s="908" t="s">
        <v>971</v>
      </c>
      <c r="F43" s="908" t="s">
        <v>970</v>
      </c>
      <c r="I43" s="924"/>
    </row>
    <row r="44" spans="1:10" x14ac:dyDescent="0.3">
      <c r="A44" s="907" t="s">
        <v>972</v>
      </c>
      <c r="B44" s="910">
        <v>5726</v>
      </c>
      <c r="C44" s="910">
        <v>7542</v>
      </c>
      <c r="D44" s="910">
        <v>10822</v>
      </c>
      <c r="E44" s="910">
        <v>9</v>
      </c>
      <c r="F44" s="910">
        <v>10</v>
      </c>
      <c r="I44" s="924"/>
    </row>
    <row r="45" spans="1:10" x14ac:dyDescent="0.3">
      <c r="A45" s="907" t="s">
        <v>973</v>
      </c>
      <c r="B45" s="910">
        <v>5726</v>
      </c>
      <c r="C45" s="910">
        <v>7380</v>
      </c>
      <c r="D45" s="910">
        <v>10822</v>
      </c>
      <c r="E45" s="910">
        <v>5</v>
      </c>
      <c r="F45" s="910">
        <v>6</v>
      </c>
      <c r="I45" s="924"/>
    </row>
    <row r="46" spans="1:10" x14ac:dyDescent="0.3">
      <c r="A46" s="907" t="s">
        <v>982</v>
      </c>
      <c r="B46" s="910">
        <v>5652</v>
      </c>
      <c r="C46" s="910">
        <v>8109</v>
      </c>
      <c r="D46" s="910">
        <v>11564</v>
      </c>
      <c r="E46" s="910">
        <v>10</v>
      </c>
      <c r="F46" s="910">
        <v>11</v>
      </c>
      <c r="I46" s="924"/>
    </row>
    <row r="47" spans="1:10" x14ac:dyDescent="0.3">
      <c r="A47" s="907" t="s">
        <v>995</v>
      </c>
      <c r="B47" s="910">
        <v>2082</v>
      </c>
      <c r="C47" s="910">
        <v>8489</v>
      </c>
      <c r="D47" s="910">
        <v>16149</v>
      </c>
      <c r="E47" s="910">
        <v>238</v>
      </c>
      <c r="F47" s="910">
        <v>246</v>
      </c>
      <c r="I47" s="924"/>
    </row>
    <row r="48" spans="1:10" x14ac:dyDescent="0.3">
      <c r="A48" s="916"/>
      <c r="B48" s="917"/>
      <c r="C48" s="917"/>
      <c r="D48" s="917"/>
      <c r="E48" s="917"/>
      <c r="F48" s="917"/>
      <c r="G48" s="917"/>
      <c r="H48" s="917"/>
      <c r="I48" s="918"/>
    </row>
    <row r="49" spans="1:4" x14ac:dyDescent="0.3">
      <c r="A49" s="124" t="s">
        <v>985</v>
      </c>
    </row>
    <row r="50" spans="1:4" x14ac:dyDescent="0.3">
      <c r="A50" s="124" t="s">
        <v>999</v>
      </c>
      <c r="B50" s="903"/>
      <c r="C50" s="903"/>
      <c r="D50" s="903"/>
    </row>
    <row r="51" spans="1:4" x14ac:dyDescent="0.3">
      <c r="A51" s="124" t="s">
        <v>986</v>
      </c>
      <c r="B51" s="903"/>
      <c r="C51" s="903"/>
      <c r="D51" s="903"/>
    </row>
    <row r="52" spans="1:4" x14ac:dyDescent="0.3">
      <c r="A52" s="124" t="s">
        <v>987</v>
      </c>
      <c r="B52" s="903"/>
      <c r="C52" s="903"/>
      <c r="D52" s="903"/>
    </row>
    <row r="53" spans="1:4" x14ac:dyDescent="0.3">
      <c r="A53" s="124" t="s">
        <v>988</v>
      </c>
      <c r="B53" s="903"/>
      <c r="C53" s="903"/>
      <c r="D53" s="903"/>
    </row>
    <row r="54" spans="1:4" x14ac:dyDescent="0.3">
      <c r="A54" s="124" t="s">
        <v>996</v>
      </c>
      <c r="B54" s="903"/>
      <c r="C54" s="903"/>
      <c r="D54" s="903"/>
    </row>
    <row r="55" spans="1:4" x14ac:dyDescent="0.3">
      <c r="B55" s="903"/>
      <c r="C55" s="903"/>
      <c r="D55" s="903"/>
    </row>
    <row r="56" spans="1:4" x14ac:dyDescent="0.3">
      <c r="B56" s="903"/>
      <c r="C56" s="903"/>
      <c r="D56" s="903"/>
    </row>
    <row r="57" spans="1:4" x14ac:dyDescent="0.3">
      <c r="B57" s="903"/>
      <c r="C57" s="903"/>
      <c r="D57" s="903"/>
    </row>
    <row r="58" spans="1:4" x14ac:dyDescent="0.3">
      <c r="B58" s="903"/>
      <c r="C58" s="903"/>
      <c r="D58" s="903"/>
    </row>
    <row r="59" spans="1:4" x14ac:dyDescent="0.3">
      <c r="B59" s="903"/>
      <c r="C59" s="903"/>
      <c r="D59" s="903"/>
    </row>
    <row r="60" spans="1:4" x14ac:dyDescent="0.3">
      <c r="B60" s="903"/>
      <c r="C60" s="903"/>
      <c r="D60" s="903"/>
    </row>
    <row r="61" spans="1:4" x14ac:dyDescent="0.3">
      <c r="B61" s="903"/>
      <c r="C61" s="903"/>
      <c r="D61" s="903"/>
    </row>
    <row r="62" spans="1:4" x14ac:dyDescent="0.3">
      <c r="B62" s="903"/>
      <c r="C62" s="903"/>
      <c r="D62" s="903"/>
    </row>
  </sheetData>
  <mergeCells count="5">
    <mergeCell ref="B25:D25"/>
    <mergeCell ref="F25:H25"/>
    <mergeCell ref="A34:B34"/>
    <mergeCell ref="A35:B35"/>
    <mergeCell ref="A33:B33"/>
  </mergeCells>
  <pageMargins left="0.7" right="0.7" top="0.75" bottom="0.75" header="0.3" footer="0.3"/>
  <pageSetup scale="5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2"/>
  <sheetViews>
    <sheetView view="pageBreakPreview" zoomScale="80" zoomScaleNormal="100" zoomScaleSheetLayoutView="80" workbookViewId="0"/>
  </sheetViews>
  <sheetFormatPr defaultRowHeight="16.5" x14ac:dyDescent="0.3"/>
  <cols>
    <col min="1" max="1" width="24.28515625" style="124" customWidth="1"/>
    <col min="2" max="7" width="14.7109375" style="124" customWidth="1"/>
    <col min="8" max="8" width="16.7109375" style="124" customWidth="1"/>
    <col min="9" max="9" width="14.7109375" style="124" customWidth="1"/>
    <col min="10" max="16384" width="9.140625" style="124"/>
  </cols>
  <sheetData>
    <row r="1" spans="1:9" x14ac:dyDescent="0.3">
      <c r="A1" s="125" t="s">
        <v>0</v>
      </c>
      <c r="I1" s="933" t="s">
        <v>198</v>
      </c>
    </row>
    <row r="2" spans="1:9" x14ac:dyDescent="0.3">
      <c r="A2" s="899" t="s">
        <v>933</v>
      </c>
    </row>
    <row r="4" spans="1:9" x14ac:dyDescent="0.3">
      <c r="A4" s="904" t="s">
        <v>934</v>
      </c>
      <c r="B4" s="905"/>
      <c r="C4" s="905"/>
      <c r="D4" s="905"/>
      <c r="E4" s="905"/>
      <c r="F4" s="905"/>
      <c r="G4" s="905"/>
      <c r="H4" s="905"/>
      <c r="I4" s="906"/>
    </row>
    <row r="5" spans="1:9" ht="51.75" customHeight="1" x14ac:dyDescent="0.3">
      <c r="A5" s="907"/>
      <c r="B5" s="908" t="s">
        <v>935</v>
      </c>
      <c r="C5" s="908" t="s">
        <v>936</v>
      </c>
      <c r="D5" s="908" t="s">
        <v>937</v>
      </c>
      <c r="E5" s="908" t="s">
        <v>938</v>
      </c>
      <c r="F5" s="908" t="s">
        <v>939</v>
      </c>
      <c r="G5" s="908" t="s">
        <v>975</v>
      </c>
      <c r="H5" s="908" t="s">
        <v>940</v>
      </c>
      <c r="I5" s="909" t="s">
        <v>941</v>
      </c>
    </row>
    <row r="6" spans="1:9" x14ac:dyDescent="0.3">
      <c r="A6" s="907" t="s">
        <v>662</v>
      </c>
      <c r="B6" s="935">
        <f>38455300-349000</f>
        <v>38106300</v>
      </c>
      <c r="C6" s="911">
        <f>+B6*1.05</f>
        <v>40011615</v>
      </c>
      <c r="D6" s="911">
        <f>+B6/$D$10</f>
        <v>3234.0066197063566</v>
      </c>
      <c r="E6" s="912">
        <f>+B6/$E$10</f>
        <v>4624.5509708737864</v>
      </c>
      <c r="F6" s="911">
        <f>+B6/$F$10</f>
        <v>16167.288926601612</v>
      </c>
      <c r="G6" s="911">
        <f>+D6*1.02</f>
        <v>3298.6867521004838</v>
      </c>
      <c r="H6" s="911">
        <f>+E6*1.02</f>
        <v>4717.0419902912618</v>
      </c>
      <c r="I6" s="913">
        <f>+F6*1.02</f>
        <v>16490.634705133645</v>
      </c>
    </row>
    <row r="7" spans="1:9" x14ac:dyDescent="0.3">
      <c r="A7" s="907" t="s">
        <v>942</v>
      </c>
      <c r="B7" s="935">
        <v>44976160</v>
      </c>
      <c r="C7" s="911">
        <f t="shared" ref="C7:C9" si="0">+B7*1.05</f>
        <v>47224968</v>
      </c>
      <c r="D7" s="911">
        <f t="shared" ref="D7:D9" si="1">+B7/$D$10</f>
        <v>3817.0381057455656</v>
      </c>
      <c r="E7" s="911">
        <f t="shared" ref="E7:E9" si="2">+B7/$E$10</f>
        <v>5458.2718446601939</v>
      </c>
      <c r="F7" s="911">
        <f t="shared" ref="F7:F9" si="3">+B7/$F$10</f>
        <v>19081.951633432331</v>
      </c>
      <c r="G7" s="911">
        <f t="shared" ref="G7:I9" si="4">+D7*1.02</f>
        <v>3893.3788678604769</v>
      </c>
      <c r="H7" s="911">
        <f t="shared" si="4"/>
        <v>5567.437281553398</v>
      </c>
      <c r="I7" s="913">
        <f t="shared" si="4"/>
        <v>19463.590666100979</v>
      </c>
    </row>
    <row r="8" spans="1:9" x14ac:dyDescent="0.3">
      <c r="A8" s="907" t="s">
        <v>943</v>
      </c>
      <c r="B8" s="910">
        <v>0</v>
      </c>
      <c r="C8" s="911">
        <f t="shared" si="0"/>
        <v>0</v>
      </c>
      <c r="D8" s="911">
        <f t="shared" si="1"/>
        <v>0</v>
      </c>
      <c r="E8" s="911">
        <f t="shared" si="2"/>
        <v>0</v>
      </c>
      <c r="F8" s="911">
        <f t="shared" si="3"/>
        <v>0</v>
      </c>
      <c r="G8" s="911">
        <f t="shared" si="4"/>
        <v>0</v>
      </c>
      <c r="H8" s="911">
        <f t="shared" si="4"/>
        <v>0</v>
      </c>
      <c r="I8" s="913">
        <f t="shared" si="4"/>
        <v>0</v>
      </c>
    </row>
    <row r="9" spans="1:9" x14ac:dyDescent="0.3">
      <c r="A9" s="914" t="s">
        <v>944</v>
      </c>
      <c r="B9" s="911">
        <f>SUM(B6:B8)</f>
        <v>83082460</v>
      </c>
      <c r="C9" s="911">
        <f t="shared" si="0"/>
        <v>87236583</v>
      </c>
      <c r="D9" s="911">
        <f t="shared" si="1"/>
        <v>7051.0447254519222</v>
      </c>
      <c r="E9" s="911">
        <f t="shared" si="2"/>
        <v>10082.82281553398</v>
      </c>
      <c r="F9" s="911">
        <f t="shared" si="3"/>
        <v>35249.240560033941</v>
      </c>
      <c r="G9" s="911">
        <f t="shared" si="4"/>
        <v>7192.0656199609612</v>
      </c>
      <c r="H9" s="911">
        <f t="shared" si="4"/>
        <v>10284.479271844661</v>
      </c>
      <c r="I9" s="913">
        <f t="shared" si="4"/>
        <v>35954.225371234621</v>
      </c>
    </row>
    <row r="10" spans="1:9" s="902" customFormat="1" x14ac:dyDescent="0.3">
      <c r="A10" s="915"/>
      <c r="B10" s="911"/>
      <c r="C10" s="911"/>
      <c r="D10" s="935">
        <v>11783</v>
      </c>
      <c r="E10" s="935">
        <v>8240</v>
      </c>
      <c r="F10" s="935">
        <v>2357</v>
      </c>
      <c r="G10" s="911"/>
      <c r="H10" s="911"/>
      <c r="I10" s="913"/>
    </row>
    <row r="11" spans="1:9" x14ac:dyDescent="0.3">
      <c r="A11" s="916"/>
      <c r="B11" s="917"/>
      <c r="C11" s="917"/>
      <c r="D11" s="917"/>
      <c r="E11" s="917"/>
      <c r="F11" s="917"/>
      <c r="G11" s="917"/>
      <c r="H11" s="917"/>
      <c r="I11" s="918"/>
    </row>
    <row r="12" spans="1:9" x14ac:dyDescent="0.3">
      <c r="A12" s="904" t="s">
        <v>976</v>
      </c>
      <c r="B12" s="905"/>
      <c r="C12" s="905"/>
      <c r="D12" s="905"/>
      <c r="E12" s="905"/>
      <c r="F12" s="905"/>
      <c r="G12" s="905"/>
      <c r="H12" s="905"/>
      <c r="I12" s="906"/>
    </row>
    <row r="13" spans="1:9" s="900" customFormat="1" ht="33" x14ac:dyDescent="0.3">
      <c r="A13" s="926" t="s">
        <v>945</v>
      </c>
      <c r="B13" s="908" t="s">
        <v>946</v>
      </c>
      <c r="C13" s="925" t="s">
        <v>662</v>
      </c>
      <c r="D13" s="925" t="s">
        <v>663</v>
      </c>
      <c r="E13" s="925" t="s">
        <v>178</v>
      </c>
      <c r="F13" s="925" t="s">
        <v>751</v>
      </c>
      <c r="G13" s="908" t="s">
        <v>947</v>
      </c>
      <c r="H13" s="908" t="s">
        <v>948</v>
      </c>
      <c r="I13" s="921"/>
    </row>
    <row r="14" spans="1:9" x14ac:dyDescent="0.3">
      <c r="A14" s="922" t="s">
        <v>904</v>
      </c>
      <c r="B14" s="935">
        <v>8514</v>
      </c>
      <c r="C14" s="935"/>
      <c r="D14" s="935"/>
      <c r="E14" s="935"/>
      <c r="F14" s="911">
        <f>SUM(C14:E14)</f>
        <v>0</v>
      </c>
      <c r="G14" s="923">
        <f t="shared" ref="G14:G21" si="5">IF(F14,C14/F14,0)</f>
        <v>0</v>
      </c>
      <c r="H14" s="923">
        <f t="shared" ref="H14:H21" si="6">IF(F14,D14/F14,0)</f>
        <v>0</v>
      </c>
      <c r="I14" s="924"/>
    </row>
    <row r="15" spans="1:9" x14ac:dyDescent="0.3">
      <c r="A15" s="922" t="s">
        <v>945</v>
      </c>
      <c r="B15" s="910"/>
      <c r="C15" s="910"/>
      <c r="D15" s="910"/>
      <c r="E15" s="910"/>
      <c r="F15" s="911">
        <f t="shared" ref="F15:F21" si="7">SUM(C15:E15)</f>
        <v>0</v>
      </c>
      <c r="G15" s="923">
        <f t="shared" si="5"/>
        <v>0</v>
      </c>
      <c r="H15" s="923">
        <f t="shared" si="6"/>
        <v>0</v>
      </c>
      <c r="I15" s="924"/>
    </row>
    <row r="16" spans="1:9" x14ac:dyDescent="0.3">
      <c r="A16" s="922" t="s">
        <v>945</v>
      </c>
      <c r="B16" s="910"/>
      <c r="C16" s="910"/>
      <c r="D16" s="910"/>
      <c r="E16" s="910"/>
      <c r="F16" s="911">
        <f t="shared" ref="F16" si="8">SUM(C16:E16)</f>
        <v>0</v>
      </c>
      <c r="G16" s="923">
        <f t="shared" ref="G16" si="9">IF(F16,C16/F16,0)</f>
        <v>0</v>
      </c>
      <c r="H16" s="923">
        <f t="shared" si="6"/>
        <v>0</v>
      </c>
      <c r="I16" s="924"/>
    </row>
    <row r="17" spans="1:9" x14ac:dyDescent="0.3">
      <c r="A17" s="922" t="s">
        <v>945</v>
      </c>
      <c r="B17" s="910"/>
      <c r="C17" s="910"/>
      <c r="D17" s="910"/>
      <c r="E17" s="910"/>
      <c r="F17" s="911">
        <f t="shared" si="7"/>
        <v>0</v>
      </c>
      <c r="G17" s="923">
        <f t="shared" si="5"/>
        <v>0</v>
      </c>
      <c r="H17" s="923">
        <f t="shared" si="6"/>
        <v>0</v>
      </c>
      <c r="I17" s="924"/>
    </row>
    <row r="18" spans="1:9" x14ac:dyDescent="0.3">
      <c r="A18" s="922" t="s">
        <v>945</v>
      </c>
      <c r="B18" s="910"/>
      <c r="C18" s="910"/>
      <c r="D18" s="910"/>
      <c r="E18" s="910"/>
      <c r="F18" s="911">
        <f t="shared" si="7"/>
        <v>0</v>
      </c>
      <c r="G18" s="923">
        <f t="shared" si="5"/>
        <v>0</v>
      </c>
      <c r="H18" s="923">
        <f t="shared" si="6"/>
        <v>0</v>
      </c>
      <c r="I18" s="924"/>
    </row>
    <row r="19" spans="1:9" x14ac:dyDescent="0.3">
      <c r="A19" s="922" t="s">
        <v>945</v>
      </c>
      <c r="B19" s="910"/>
      <c r="C19" s="910"/>
      <c r="D19" s="910"/>
      <c r="E19" s="910"/>
      <c r="F19" s="911">
        <f t="shared" si="7"/>
        <v>0</v>
      </c>
      <c r="G19" s="923">
        <f t="shared" si="5"/>
        <v>0</v>
      </c>
      <c r="H19" s="923">
        <f t="shared" si="6"/>
        <v>0</v>
      </c>
      <c r="I19" s="924"/>
    </row>
    <row r="20" spans="1:9" x14ac:dyDescent="0.3">
      <c r="A20" s="922" t="s">
        <v>945</v>
      </c>
      <c r="B20" s="910"/>
      <c r="C20" s="910"/>
      <c r="D20" s="910"/>
      <c r="E20" s="910"/>
      <c r="F20" s="911">
        <f t="shared" si="7"/>
        <v>0</v>
      </c>
      <c r="G20" s="923">
        <f t="shared" si="5"/>
        <v>0</v>
      </c>
      <c r="H20" s="923">
        <f t="shared" si="6"/>
        <v>0</v>
      </c>
      <c r="I20" s="924"/>
    </row>
    <row r="21" spans="1:9" x14ac:dyDescent="0.3">
      <c r="A21" s="914" t="s">
        <v>949</v>
      </c>
      <c r="B21" s="911">
        <f>SUM(B14:B20)</f>
        <v>8514</v>
      </c>
      <c r="C21" s="911">
        <f>SUM(C14:C20)</f>
        <v>0</v>
      </c>
      <c r="D21" s="911">
        <f>SUM(D14:D20)</f>
        <v>0</v>
      </c>
      <c r="E21" s="911">
        <f>SUM(E14:E20)</f>
        <v>0</v>
      </c>
      <c r="F21" s="911">
        <f t="shared" si="7"/>
        <v>0</v>
      </c>
      <c r="G21" s="923">
        <f t="shared" si="5"/>
        <v>0</v>
      </c>
      <c r="H21" s="923">
        <f t="shared" si="6"/>
        <v>0</v>
      </c>
      <c r="I21" s="924"/>
    </row>
    <row r="22" spans="1:9" x14ac:dyDescent="0.3">
      <c r="A22" s="914" t="s">
        <v>950</v>
      </c>
      <c r="B22" s="911"/>
      <c r="C22" s="911">
        <f>+C21/$B$21</f>
        <v>0</v>
      </c>
      <c r="D22" s="911">
        <f t="shared" ref="D22:F22" si="10">+D21/$B$21</f>
        <v>0</v>
      </c>
      <c r="E22" s="911">
        <f t="shared" si="10"/>
        <v>0</v>
      </c>
      <c r="F22" s="911">
        <f t="shared" si="10"/>
        <v>0</v>
      </c>
      <c r="G22" s="911"/>
      <c r="H22" s="911"/>
      <c r="I22" s="924"/>
    </row>
    <row r="23" spans="1:9" x14ac:dyDescent="0.3">
      <c r="A23" s="916"/>
      <c r="B23" s="917"/>
      <c r="C23" s="917"/>
      <c r="D23" s="917"/>
      <c r="E23" s="917"/>
      <c r="F23" s="917"/>
      <c r="G23" s="917"/>
      <c r="H23" s="917"/>
      <c r="I23" s="918"/>
    </row>
    <row r="24" spans="1:9" x14ac:dyDescent="0.3">
      <c r="A24" s="904" t="s">
        <v>951</v>
      </c>
      <c r="B24" s="905"/>
      <c r="C24" s="905"/>
      <c r="D24" s="905"/>
      <c r="E24" s="905"/>
      <c r="F24" s="905"/>
      <c r="G24" s="905"/>
      <c r="H24" s="905"/>
      <c r="I24" s="906"/>
    </row>
    <row r="25" spans="1:9" x14ac:dyDescent="0.3">
      <c r="A25" s="907"/>
      <c r="B25" s="1036" t="s">
        <v>952</v>
      </c>
      <c r="C25" s="1037"/>
      <c r="D25" s="1037"/>
      <c r="E25" s="18"/>
      <c r="F25" s="1036" t="s">
        <v>974</v>
      </c>
      <c r="G25" s="1037"/>
      <c r="H25" s="1037"/>
      <c r="I25" s="924"/>
    </row>
    <row r="26" spans="1:9" x14ac:dyDescent="0.3">
      <c r="A26" s="907"/>
      <c r="B26" s="925" t="s">
        <v>662</v>
      </c>
      <c r="C26" s="925" t="s">
        <v>663</v>
      </c>
      <c r="D26" s="925" t="s">
        <v>751</v>
      </c>
      <c r="E26" s="925"/>
      <c r="F26" s="925" t="s">
        <v>662</v>
      </c>
      <c r="G26" s="925" t="s">
        <v>663</v>
      </c>
      <c r="H26" s="925" t="s">
        <v>751</v>
      </c>
      <c r="I26" s="924"/>
    </row>
    <row r="27" spans="1:9" x14ac:dyDescent="0.3">
      <c r="A27" s="907" t="s">
        <v>953</v>
      </c>
      <c r="B27" s="935">
        <f>1174144+38900+92600</f>
        <v>1305644</v>
      </c>
      <c r="C27" s="935">
        <v>526356</v>
      </c>
      <c r="D27" s="911">
        <f>+B27+C27</f>
        <v>1832000</v>
      </c>
      <c r="E27" s="911"/>
      <c r="F27" s="910"/>
      <c r="G27" s="910"/>
      <c r="H27" s="911">
        <f>SUM(F27:G27)</f>
        <v>0</v>
      </c>
      <c r="I27" s="924"/>
    </row>
    <row r="28" spans="1:9" x14ac:dyDescent="0.3">
      <c r="A28" s="907" t="s">
        <v>977</v>
      </c>
      <c r="B28" s="935">
        <v>4497987</v>
      </c>
      <c r="C28" s="935"/>
      <c r="D28" s="911">
        <f t="shared" ref="D28:D30" si="11">+B28+C28</f>
        <v>4497987</v>
      </c>
      <c r="E28" s="911"/>
      <c r="F28" s="910"/>
      <c r="G28" s="910"/>
      <c r="H28" s="911">
        <f t="shared" ref="H28:H30" si="12">SUM(F28:G28)</f>
        <v>0</v>
      </c>
      <c r="I28" s="924"/>
    </row>
    <row r="29" spans="1:9" x14ac:dyDescent="0.3">
      <c r="A29" s="907" t="s">
        <v>954</v>
      </c>
      <c r="B29" s="935"/>
      <c r="C29" s="935"/>
      <c r="D29" s="911">
        <f t="shared" si="11"/>
        <v>0</v>
      </c>
      <c r="E29" s="911"/>
      <c r="F29" s="910"/>
      <c r="G29" s="910"/>
      <c r="H29" s="911">
        <f t="shared" si="12"/>
        <v>0</v>
      </c>
      <c r="I29" s="924"/>
    </row>
    <row r="30" spans="1:9" x14ac:dyDescent="0.3">
      <c r="A30" s="907" t="s">
        <v>955</v>
      </c>
      <c r="B30" s="935"/>
      <c r="C30" s="935"/>
      <c r="D30" s="911">
        <f t="shared" si="11"/>
        <v>0</v>
      </c>
      <c r="E30" s="911"/>
      <c r="F30" s="910"/>
      <c r="G30" s="910"/>
      <c r="H30" s="911">
        <f t="shared" si="12"/>
        <v>0</v>
      </c>
      <c r="I30" s="924"/>
    </row>
    <row r="31" spans="1:9" x14ac:dyDescent="0.3">
      <c r="A31" s="914" t="s">
        <v>751</v>
      </c>
      <c r="B31" s="911">
        <f>SUM(B27:B30)</f>
        <v>5803631</v>
      </c>
      <c r="C31" s="911">
        <f t="shared" ref="C31:D31" si="13">SUM(C27:C30)</f>
        <v>526356</v>
      </c>
      <c r="D31" s="911">
        <f t="shared" si="13"/>
        <v>6329987</v>
      </c>
      <c r="E31" s="911"/>
      <c r="F31" s="911">
        <f>SUM(F27:F30)</f>
        <v>0</v>
      </c>
      <c r="G31" s="911">
        <f t="shared" ref="G31:H31" si="14">SUM(G27:G30)</f>
        <v>0</v>
      </c>
      <c r="H31" s="911">
        <f t="shared" si="14"/>
        <v>0</v>
      </c>
      <c r="I31" s="924"/>
    </row>
    <row r="32" spans="1:9" x14ac:dyDescent="0.3">
      <c r="A32" s="907"/>
      <c r="B32" s="18"/>
      <c r="C32" s="18"/>
      <c r="D32" s="18"/>
      <c r="E32" s="18"/>
      <c r="F32" s="18"/>
      <c r="G32" s="18"/>
      <c r="H32" s="18"/>
      <c r="I32" s="924"/>
    </row>
    <row r="33" spans="1:10" ht="32.25" customHeight="1" x14ac:dyDescent="0.3">
      <c r="A33" s="1038" t="s">
        <v>956</v>
      </c>
      <c r="B33" s="1039"/>
      <c r="C33" s="908" t="s">
        <v>957</v>
      </c>
      <c r="D33" s="908" t="s">
        <v>958</v>
      </c>
      <c r="E33" s="925" t="s">
        <v>959</v>
      </c>
      <c r="F33" s="18"/>
      <c r="G33" s="18"/>
      <c r="H33" s="18"/>
      <c r="I33" s="924"/>
    </row>
    <row r="34" spans="1:10" x14ac:dyDescent="0.3">
      <c r="A34" s="1040" t="s">
        <v>960</v>
      </c>
      <c r="B34" s="1037"/>
      <c r="C34" s="910"/>
      <c r="D34" s="923">
        <f>IF(D21,C34/D21-1,0)</f>
        <v>0</v>
      </c>
      <c r="E34" s="911"/>
      <c r="F34" s="18"/>
      <c r="G34" s="18"/>
      <c r="H34" s="18"/>
      <c r="I34" s="924"/>
    </row>
    <row r="35" spans="1:10" x14ac:dyDescent="0.3">
      <c r="A35" s="1038" t="s">
        <v>961</v>
      </c>
      <c r="B35" s="1039"/>
      <c r="C35" s="910"/>
      <c r="D35" s="923">
        <f>IF(C21,C35/C21-1,0)</f>
        <v>0</v>
      </c>
      <c r="E35" s="911"/>
      <c r="F35" s="18"/>
      <c r="G35" s="18"/>
      <c r="H35" s="18"/>
      <c r="I35" s="924"/>
    </row>
    <row r="36" spans="1:10" x14ac:dyDescent="0.3">
      <c r="A36" s="907"/>
      <c r="B36" s="927" t="s">
        <v>962</v>
      </c>
      <c r="C36" s="911">
        <f>SUM(C34:C35)</f>
        <v>0</v>
      </c>
      <c r="D36" s="923">
        <f>IF((C21+D21),C36/(C21+D21),0)</f>
        <v>0</v>
      </c>
      <c r="E36" s="928">
        <v>0.05</v>
      </c>
      <c r="F36" s="18"/>
      <c r="G36" s="18"/>
      <c r="H36" s="18"/>
      <c r="I36" s="924"/>
    </row>
    <row r="37" spans="1:10" x14ac:dyDescent="0.3">
      <c r="A37" s="907"/>
      <c r="B37" s="927"/>
      <c r="C37" s="911"/>
      <c r="D37" s="911"/>
      <c r="E37" s="928"/>
      <c r="F37" s="18"/>
      <c r="G37" s="18"/>
      <c r="H37" s="18"/>
      <c r="I37" s="924"/>
    </row>
    <row r="38" spans="1:10" x14ac:dyDescent="0.3">
      <c r="A38" s="904" t="s">
        <v>983</v>
      </c>
      <c r="B38" s="905"/>
      <c r="C38" s="905"/>
      <c r="D38" s="905"/>
      <c r="E38" s="905"/>
      <c r="F38" s="905"/>
      <c r="G38" s="905"/>
      <c r="H38" s="905"/>
      <c r="I38" s="906"/>
    </row>
    <row r="39" spans="1:10" ht="49.5" x14ac:dyDescent="0.3">
      <c r="A39" s="907"/>
      <c r="B39" s="925" t="s">
        <v>963</v>
      </c>
      <c r="C39" s="925" t="s">
        <v>964</v>
      </c>
      <c r="D39" s="925" t="s">
        <v>965</v>
      </c>
      <c r="E39" s="925" t="s">
        <v>203</v>
      </c>
      <c r="F39" s="925" t="s">
        <v>966</v>
      </c>
      <c r="G39" s="925" t="s">
        <v>967</v>
      </c>
      <c r="H39" s="925" t="s">
        <v>968</v>
      </c>
      <c r="I39" s="909" t="s">
        <v>981</v>
      </c>
      <c r="J39" s="901"/>
    </row>
    <row r="40" spans="1:10" ht="33" x14ac:dyDescent="0.3">
      <c r="A40" s="929" t="s">
        <v>984</v>
      </c>
      <c r="B40" s="935">
        <v>6676</v>
      </c>
      <c r="C40" s="935">
        <v>6770</v>
      </c>
      <c r="D40" s="911">
        <f>+C40-B40</f>
        <v>94</v>
      </c>
      <c r="E40" s="930">
        <f>+D40/B40</f>
        <v>1.408028759736369E-2</v>
      </c>
      <c r="F40" s="934">
        <v>1.9E-2</v>
      </c>
      <c r="G40" s="934">
        <v>2.8000000000000001E-2</v>
      </c>
      <c r="H40" s="934">
        <v>1.6E-2</v>
      </c>
      <c r="I40" s="936">
        <v>0.108</v>
      </c>
    </row>
    <row r="41" spans="1:10" x14ac:dyDescent="0.3">
      <c r="A41" s="929"/>
      <c r="B41" s="18"/>
      <c r="C41" s="18"/>
      <c r="D41" s="18"/>
      <c r="E41" s="18"/>
      <c r="F41" s="18"/>
      <c r="G41" s="18"/>
      <c r="H41" s="18"/>
      <c r="I41" s="924"/>
    </row>
    <row r="42" spans="1:10" x14ac:dyDescent="0.3">
      <c r="A42" s="932" t="s">
        <v>969</v>
      </c>
      <c r="B42" s="18"/>
      <c r="C42" s="18"/>
      <c r="D42" s="18"/>
      <c r="E42" s="18"/>
      <c r="F42" s="18"/>
      <c r="G42" s="18"/>
      <c r="H42" s="18"/>
      <c r="I42" s="924"/>
    </row>
    <row r="43" spans="1:10" ht="33" customHeight="1" x14ac:dyDescent="0.3">
      <c r="A43" s="907"/>
      <c r="B43" s="908" t="s">
        <v>979</v>
      </c>
      <c r="C43" s="908" t="s">
        <v>980</v>
      </c>
      <c r="D43" s="908" t="s">
        <v>978</v>
      </c>
      <c r="E43" s="908" t="s">
        <v>971</v>
      </c>
      <c r="F43" s="908" t="s">
        <v>970</v>
      </c>
      <c r="I43" s="924"/>
    </row>
    <row r="44" spans="1:10" x14ac:dyDescent="0.3">
      <c r="A44" s="907" t="s">
        <v>972</v>
      </c>
      <c r="B44" s="935">
        <v>6207</v>
      </c>
      <c r="C44" s="935">
        <v>7154</v>
      </c>
      <c r="D44" s="935">
        <v>8010</v>
      </c>
      <c r="E44" s="935">
        <v>4</v>
      </c>
      <c r="F44" s="935">
        <v>5</v>
      </c>
      <c r="I44" s="924"/>
    </row>
    <row r="45" spans="1:10" x14ac:dyDescent="0.3">
      <c r="A45" s="907" t="s">
        <v>973</v>
      </c>
      <c r="B45" s="935">
        <v>6207</v>
      </c>
      <c r="C45" s="935">
        <v>6512</v>
      </c>
      <c r="D45" s="935">
        <v>6816</v>
      </c>
      <c r="E45" s="935">
        <v>1</v>
      </c>
      <c r="F45" s="935">
        <v>2</v>
      </c>
      <c r="I45" s="924"/>
    </row>
    <row r="46" spans="1:10" x14ac:dyDescent="0.3">
      <c r="A46" s="907" t="s">
        <v>982</v>
      </c>
      <c r="B46" s="935">
        <v>6134</v>
      </c>
      <c r="C46" s="935">
        <v>8601</v>
      </c>
      <c r="D46" s="935">
        <v>13654</v>
      </c>
      <c r="E46" s="935">
        <v>10</v>
      </c>
      <c r="F46" s="935">
        <v>11</v>
      </c>
      <c r="I46" s="924"/>
    </row>
    <row r="47" spans="1:10" x14ac:dyDescent="0.3">
      <c r="A47" s="907" t="s">
        <v>995</v>
      </c>
      <c r="B47" s="910">
        <v>2082</v>
      </c>
      <c r="C47" s="910">
        <v>8489</v>
      </c>
      <c r="D47" s="910">
        <v>16149</v>
      </c>
      <c r="E47" s="935">
        <v>208</v>
      </c>
      <c r="F47" s="910">
        <v>246</v>
      </c>
      <c r="I47" s="924"/>
    </row>
    <row r="48" spans="1:10" x14ac:dyDescent="0.3">
      <c r="A48" s="916"/>
      <c r="B48" s="917"/>
      <c r="C48" s="917"/>
      <c r="D48" s="917"/>
      <c r="E48" s="917"/>
      <c r="F48" s="917"/>
      <c r="G48" s="917"/>
      <c r="H48" s="917"/>
      <c r="I48" s="918"/>
    </row>
    <row r="49" spans="1:5" x14ac:dyDescent="0.3">
      <c r="A49" s="124" t="s">
        <v>985</v>
      </c>
    </row>
    <row r="50" spans="1:5" x14ac:dyDescent="0.3">
      <c r="A50" s="124" t="s">
        <v>999</v>
      </c>
      <c r="B50" s="903"/>
      <c r="C50" s="903"/>
      <c r="D50" s="903"/>
    </row>
    <row r="51" spans="1:5" x14ac:dyDescent="0.3">
      <c r="A51" s="124" t="s">
        <v>986</v>
      </c>
      <c r="B51" s="903"/>
      <c r="C51" s="903"/>
      <c r="D51" s="903"/>
    </row>
    <row r="52" spans="1:5" x14ac:dyDescent="0.3">
      <c r="A52" s="124" t="s">
        <v>987</v>
      </c>
      <c r="B52" s="903"/>
      <c r="C52" s="903"/>
      <c r="D52" s="903"/>
    </row>
    <row r="53" spans="1:5" x14ac:dyDescent="0.3">
      <c r="A53" s="124" t="s">
        <v>988</v>
      </c>
      <c r="B53" s="903"/>
      <c r="C53" s="903"/>
      <c r="D53" s="903"/>
    </row>
    <row r="54" spans="1:5" x14ac:dyDescent="0.3">
      <c r="A54" s="124" t="s">
        <v>996</v>
      </c>
      <c r="B54" s="903"/>
      <c r="C54" s="903"/>
      <c r="D54" s="903"/>
    </row>
    <row r="55" spans="1:5" x14ac:dyDescent="0.3">
      <c r="B55" s="903"/>
      <c r="C55" s="903"/>
      <c r="D55" s="903"/>
    </row>
    <row r="56" spans="1:5" x14ac:dyDescent="0.3">
      <c r="B56" s="903"/>
      <c r="C56" s="903"/>
      <c r="D56" s="903"/>
    </row>
    <row r="57" spans="1:5" x14ac:dyDescent="0.3">
      <c r="B57" s="903"/>
      <c r="C57" s="903"/>
      <c r="D57" s="903"/>
      <c r="E57" s="124" t="s">
        <v>119</v>
      </c>
    </row>
    <row r="58" spans="1:5" x14ac:dyDescent="0.3">
      <c r="B58" s="903"/>
      <c r="C58" s="903"/>
      <c r="D58" s="903"/>
    </row>
    <row r="59" spans="1:5" x14ac:dyDescent="0.3">
      <c r="B59" s="903"/>
      <c r="C59" s="903"/>
      <c r="D59" s="903"/>
    </row>
    <row r="60" spans="1:5" x14ac:dyDescent="0.3">
      <c r="B60" s="903"/>
      <c r="C60" s="903"/>
      <c r="D60" s="903"/>
    </row>
    <row r="61" spans="1:5" x14ac:dyDescent="0.3">
      <c r="B61" s="903"/>
      <c r="C61" s="903"/>
      <c r="D61" s="903"/>
    </row>
    <row r="62" spans="1:5" x14ac:dyDescent="0.3">
      <c r="B62" s="903"/>
      <c r="C62" s="903"/>
      <c r="D62" s="903"/>
    </row>
  </sheetData>
  <mergeCells count="5">
    <mergeCell ref="B25:D25"/>
    <mergeCell ref="F25:H25"/>
    <mergeCell ref="A33:B33"/>
    <mergeCell ref="A34:B34"/>
    <mergeCell ref="A35:B35"/>
  </mergeCells>
  <pageMargins left="0.7" right="0.7" top="0.75" bottom="0.75" header="0.3" footer="0.3"/>
  <pageSetup scale="5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2"/>
  <sheetViews>
    <sheetView view="pageBreakPreview" zoomScale="80" zoomScaleNormal="100" zoomScaleSheetLayoutView="80" workbookViewId="0">
      <selection activeCell="A40" sqref="A40"/>
    </sheetView>
  </sheetViews>
  <sheetFormatPr defaultRowHeight="16.5" x14ac:dyDescent="0.3"/>
  <cols>
    <col min="1" max="1" width="24.28515625" style="124" customWidth="1"/>
    <col min="2" max="7" width="14.7109375" style="124" customWidth="1"/>
    <col min="8" max="8" width="16.7109375" style="124" customWidth="1"/>
    <col min="9" max="9" width="14.7109375" style="124" customWidth="1"/>
    <col min="10" max="16384" width="9.140625" style="124"/>
  </cols>
  <sheetData>
    <row r="1" spans="1:9" x14ac:dyDescent="0.3">
      <c r="A1" s="125" t="s">
        <v>0</v>
      </c>
      <c r="I1" s="933" t="s">
        <v>197</v>
      </c>
    </row>
    <row r="2" spans="1:9" x14ac:dyDescent="0.3">
      <c r="A2" s="899" t="s">
        <v>933</v>
      </c>
    </row>
    <row r="4" spans="1:9" x14ac:dyDescent="0.3">
      <c r="A4" s="904" t="s">
        <v>934</v>
      </c>
      <c r="B4" s="905"/>
      <c r="C4" s="905"/>
      <c r="D4" s="905"/>
      <c r="E4" s="905"/>
      <c r="F4" s="905"/>
      <c r="G4" s="905"/>
      <c r="H4" s="905"/>
      <c r="I4" s="906"/>
    </row>
    <row r="5" spans="1:9" ht="51.75" customHeight="1" x14ac:dyDescent="0.3">
      <c r="A5" s="907"/>
      <c r="B5" s="908" t="s">
        <v>935</v>
      </c>
      <c r="C5" s="908" t="s">
        <v>936</v>
      </c>
      <c r="D5" s="908" t="s">
        <v>937</v>
      </c>
      <c r="E5" s="908" t="s">
        <v>938</v>
      </c>
      <c r="F5" s="908" t="s">
        <v>939</v>
      </c>
      <c r="G5" s="908" t="s">
        <v>975</v>
      </c>
      <c r="H5" s="908" t="s">
        <v>940</v>
      </c>
      <c r="I5" s="909" t="s">
        <v>941</v>
      </c>
    </row>
    <row r="6" spans="1:9" x14ac:dyDescent="0.3">
      <c r="A6" s="907" t="s">
        <v>662</v>
      </c>
      <c r="B6" s="935">
        <f>22499500-50300</f>
        <v>22449200</v>
      </c>
      <c r="C6" s="911">
        <f>+B6*1.05</f>
        <v>23571660</v>
      </c>
      <c r="D6" s="911">
        <f>+B6/$D$10</f>
        <v>4027.4847506279152</v>
      </c>
      <c r="E6" s="912">
        <f>+B6/$E$10</f>
        <v>5734.1507024265647</v>
      </c>
      <c r="F6" s="911">
        <f>+B6/$F$10</f>
        <v>21278.862559241705</v>
      </c>
      <c r="G6" s="911">
        <f>+D6*1.02</f>
        <v>4108.0344456404737</v>
      </c>
      <c r="H6" s="911">
        <f>+E6*1.02</f>
        <v>5848.8337164750965</v>
      </c>
      <c r="I6" s="913">
        <f>+F6*1.02</f>
        <v>21704.439810426538</v>
      </c>
    </row>
    <row r="7" spans="1:9" x14ac:dyDescent="0.3">
      <c r="A7" s="907" t="s">
        <v>942</v>
      </c>
      <c r="B7" s="935">
        <v>11518971</v>
      </c>
      <c r="C7" s="911">
        <f t="shared" ref="C7:C9" si="0">+B7*1.05</f>
        <v>12094919.550000001</v>
      </c>
      <c r="D7" s="911">
        <f t="shared" ref="D7:D9" si="1">+B7/$D$10</f>
        <v>2066.55382131324</v>
      </c>
      <c r="E7" s="911">
        <f t="shared" ref="E7:E9" si="2">+B7/$E$10</f>
        <v>2942.2659003831418</v>
      </c>
      <c r="F7" s="911">
        <f t="shared" ref="F7:F9" si="3">+B7/$F$10</f>
        <v>10918.455924170616</v>
      </c>
      <c r="G7" s="911">
        <f t="shared" ref="G7:I9" si="4">+D7*1.02</f>
        <v>2107.8848977395046</v>
      </c>
      <c r="H7" s="911">
        <f t="shared" si="4"/>
        <v>3001.1112183908049</v>
      </c>
      <c r="I7" s="913">
        <f t="shared" si="4"/>
        <v>11136.825042654029</v>
      </c>
    </row>
    <row r="8" spans="1:9" x14ac:dyDescent="0.3">
      <c r="A8" s="907" t="s">
        <v>943</v>
      </c>
      <c r="B8" s="910">
        <v>0</v>
      </c>
      <c r="C8" s="911">
        <f t="shared" si="0"/>
        <v>0</v>
      </c>
      <c r="D8" s="911">
        <f t="shared" si="1"/>
        <v>0</v>
      </c>
      <c r="E8" s="911">
        <f t="shared" si="2"/>
        <v>0</v>
      </c>
      <c r="F8" s="911">
        <f t="shared" si="3"/>
        <v>0</v>
      </c>
      <c r="G8" s="911">
        <f t="shared" si="4"/>
        <v>0</v>
      </c>
      <c r="H8" s="911">
        <f t="shared" si="4"/>
        <v>0</v>
      </c>
      <c r="I8" s="913">
        <f t="shared" si="4"/>
        <v>0</v>
      </c>
    </row>
    <row r="9" spans="1:9" x14ac:dyDescent="0.3">
      <c r="A9" s="914" t="s">
        <v>944</v>
      </c>
      <c r="B9" s="911">
        <f>SUM(B6:B8)</f>
        <v>33968171</v>
      </c>
      <c r="C9" s="911">
        <f t="shared" si="0"/>
        <v>35666579.550000004</v>
      </c>
      <c r="D9" s="911">
        <f t="shared" si="1"/>
        <v>6094.0385719411552</v>
      </c>
      <c r="E9" s="911">
        <f t="shared" si="2"/>
        <v>8676.4166028097061</v>
      </c>
      <c r="F9" s="911">
        <f t="shared" si="3"/>
        <v>32197.318483412324</v>
      </c>
      <c r="G9" s="911">
        <f t="shared" si="4"/>
        <v>6215.9193433799783</v>
      </c>
      <c r="H9" s="911">
        <f t="shared" si="4"/>
        <v>8849.9449348659</v>
      </c>
      <c r="I9" s="913">
        <f t="shared" si="4"/>
        <v>32841.264853080575</v>
      </c>
    </row>
    <row r="10" spans="1:9" s="902" customFormat="1" x14ac:dyDescent="0.3">
      <c r="A10" s="915"/>
      <c r="B10" s="911"/>
      <c r="C10" s="911"/>
      <c r="D10" s="935">
        <v>5574</v>
      </c>
      <c r="E10" s="935">
        <v>3915</v>
      </c>
      <c r="F10" s="935">
        <v>1055</v>
      </c>
      <c r="G10" s="911"/>
      <c r="H10" s="911"/>
      <c r="I10" s="913"/>
    </row>
    <row r="11" spans="1:9" x14ac:dyDescent="0.3">
      <c r="A11" s="916"/>
      <c r="B11" s="917"/>
      <c r="C11" s="917"/>
      <c r="D11" s="917"/>
      <c r="E11" s="917"/>
      <c r="F11" s="917"/>
      <c r="G11" s="917"/>
      <c r="H11" s="917"/>
      <c r="I11" s="918"/>
    </row>
    <row r="12" spans="1:9" x14ac:dyDescent="0.3">
      <c r="A12" s="904" t="s">
        <v>976</v>
      </c>
      <c r="B12" s="905"/>
      <c r="C12" s="905"/>
      <c r="D12" s="905"/>
      <c r="E12" s="905"/>
      <c r="F12" s="905"/>
      <c r="G12" s="905"/>
      <c r="H12" s="905"/>
      <c r="I12" s="906"/>
    </row>
    <row r="13" spans="1:9" s="900" customFormat="1" ht="33" x14ac:dyDescent="0.3">
      <c r="A13" s="926" t="s">
        <v>945</v>
      </c>
      <c r="B13" s="908" t="s">
        <v>946</v>
      </c>
      <c r="C13" s="925" t="s">
        <v>662</v>
      </c>
      <c r="D13" s="925" t="s">
        <v>663</v>
      </c>
      <c r="E13" s="925" t="s">
        <v>178</v>
      </c>
      <c r="F13" s="925" t="s">
        <v>751</v>
      </c>
      <c r="G13" s="908" t="s">
        <v>947</v>
      </c>
      <c r="H13" s="908" t="s">
        <v>948</v>
      </c>
      <c r="I13" s="921"/>
    </row>
    <row r="14" spans="1:9" x14ac:dyDescent="0.3">
      <c r="A14" s="922" t="s">
        <v>904</v>
      </c>
      <c r="B14" s="935">
        <v>4285</v>
      </c>
      <c r="C14" s="935"/>
      <c r="D14" s="935"/>
      <c r="E14" s="935"/>
      <c r="F14" s="911">
        <f>SUM(C14:E14)</f>
        <v>0</v>
      </c>
      <c r="G14" s="923">
        <f t="shared" ref="G14:G21" si="5">IF(F14,C14/F14,0)</f>
        <v>0</v>
      </c>
      <c r="H14" s="923">
        <f t="shared" ref="H14:H21" si="6">IF(F14,D14/F14,0)</f>
        <v>0</v>
      </c>
      <c r="I14" s="924"/>
    </row>
    <row r="15" spans="1:9" x14ac:dyDescent="0.3">
      <c r="A15" s="922" t="s">
        <v>945</v>
      </c>
      <c r="B15" s="910"/>
      <c r="C15" s="910"/>
      <c r="D15" s="910"/>
      <c r="E15" s="910"/>
      <c r="F15" s="911">
        <f t="shared" ref="F15:F21" si="7">SUM(C15:E15)</f>
        <v>0</v>
      </c>
      <c r="G15" s="923">
        <f t="shared" si="5"/>
        <v>0</v>
      </c>
      <c r="H15" s="923">
        <f t="shared" si="6"/>
        <v>0</v>
      </c>
      <c r="I15" s="924"/>
    </row>
    <row r="16" spans="1:9" x14ac:dyDescent="0.3">
      <c r="A16" s="922" t="s">
        <v>945</v>
      </c>
      <c r="B16" s="910"/>
      <c r="C16" s="910"/>
      <c r="D16" s="910"/>
      <c r="E16" s="910"/>
      <c r="F16" s="911">
        <f t="shared" ref="F16" si="8">SUM(C16:E16)</f>
        <v>0</v>
      </c>
      <c r="G16" s="923">
        <f t="shared" ref="G16" si="9">IF(F16,C16/F16,0)</f>
        <v>0</v>
      </c>
      <c r="H16" s="923">
        <f t="shared" si="6"/>
        <v>0</v>
      </c>
      <c r="I16" s="924"/>
    </row>
    <row r="17" spans="1:9" x14ac:dyDescent="0.3">
      <c r="A17" s="922" t="s">
        <v>945</v>
      </c>
      <c r="B17" s="910"/>
      <c r="C17" s="910"/>
      <c r="D17" s="910"/>
      <c r="E17" s="910"/>
      <c r="F17" s="911">
        <f t="shared" si="7"/>
        <v>0</v>
      </c>
      <c r="G17" s="923">
        <f t="shared" si="5"/>
        <v>0</v>
      </c>
      <c r="H17" s="923">
        <f t="shared" si="6"/>
        <v>0</v>
      </c>
      <c r="I17" s="924"/>
    </row>
    <row r="18" spans="1:9" x14ac:dyDescent="0.3">
      <c r="A18" s="922" t="s">
        <v>945</v>
      </c>
      <c r="B18" s="910"/>
      <c r="C18" s="910"/>
      <c r="D18" s="910"/>
      <c r="E18" s="910"/>
      <c r="F18" s="911">
        <f t="shared" si="7"/>
        <v>0</v>
      </c>
      <c r="G18" s="923">
        <f t="shared" si="5"/>
        <v>0</v>
      </c>
      <c r="H18" s="923">
        <f t="shared" si="6"/>
        <v>0</v>
      </c>
      <c r="I18" s="924"/>
    </row>
    <row r="19" spans="1:9" x14ac:dyDescent="0.3">
      <c r="A19" s="922" t="s">
        <v>945</v>
      </c>
      <c r="B19" s="910"/>
      <c r="C19" s="910"/>
      <c r="D19" s="910"/>
      <c r="E19" s="910"/>
      <c r="F19" s="911">
        <f t="shared" si="7"/>
        <v>0</v>
      </c>
      <c r="G19" s="923">
        <f t="shared" si="5"/>
        <v>0</v>
      </c>
      <c r="H19" s="923">
        <f t="shared" si="6"/>
        <v>0</v>
      </c>
      <c r="I19" s="924"/>
    </row>
    <row r="20" spans="1:9" x14ac:dyDescent="0.3">
      <c r="A20" s="922" t="s">
        <v>945</v>
      </c>
      <c r="B20" s="910"/>
      <c r="C20" s="910"/>
      <c r="D20" s="910"/>
      <c r="E20" s="910"/>
      <c r="F20" s="911">
        <f t="shared" si="7"/>
        <v>0</v>
      </c>
      <c r="G20" s="923">
        <f t="shared" si="5"/>
        <v>0</v>
      </c>
      <c r="H20" s="923">
        <f t="shared" si="6"/>
        <v>0</v>
      </c>
      <c r="I20" s="924"/>
    </row>
    <row r="21" spans="1:9" x14ac:dyDescent="0.3">
      <c r="A21" s="914" t="s">
        <v>949</v>
      </c>
      <c r="B21" s="911">
        <f>SUM(B14:B20)</f>
        <v>4285</v>
      </c>
      <c r="C21" s="911">
        <f>SUM(C14:C20)</f>
        <v>0</v>
      </c>
      <c r="D21" s="911">
        <f>SUM(D14:D20)</f>
        <v>0</v>
      </c>
      <c r="E21" s="911">
        <f>SUM(E14:E20)</f>
        <v>0</v>
      </c>
      <c r="F21" s="911">
        <f t="shared" si="7"/>
        <v>0</v>
      </c>
      <c r="G21" s="923">
        <f t="shared" si="5"/>
        <v>0</v>
      </c>
      <c r="H21" s="923">
        <f t="shared" si="6"/>
        <v>0</v>
      </c>
      <c r="I21" s="924"/>
    </row>
    <row r="22" spans="1:9" x14ac:dyDescent="0.3">
      <c r="A22" s="914" t="s">
        <v>950</v>
      </c>
      <c r="B22" s="911"/>
      <c r="C22" s="911">
        <f>+C21/$B$21</f>
        <v>0</v>
      </c>
      <c r="D22" s="911">
        <f t="shared" ref="D22:F22" si="10">+D21/$B$21</f>
        <v>0</v>
      </c>
      <c r="E22" s="911">
        <f t="shared" si="10"/>
        <v>0</v>
      </c>
      <c r="F22" s="911">
        <f t="shared" si="10"/>
        <v>0</v>
      </c>
      <c r="G22" s="911"/>
      <c r="H22" s="911"/>
      <c r="I22" s="924"/>
    </row>
    <row r="23" spans="1:9" x14ac:dyDescent="0.3">
      <c r="A23" s="916"/>
      <c r="B23" s="917"/>
      <c r="C23" s="917"/>
      <c r="D23" s="917"/>
      <c r="E23" s="917"/>
      <c r="F23" s="917"/>
      <c r="G23" s="917"/>
      <c r="H23" s="917"/>
      <c r="I23" s="918"/>
    </row>
    <row r="24" spans="1:9" x14ac:dyDescent="0.3">
      <c r="A24" s="904" t="s">
        <v>951</v>
      </c>
      <c r="B24" s="905"/>
      <c r="C24" s="905"/>
      <c r="D24" s="905"/>
      <c r="E24" s="905"/>
      <c r="F24" s="905"/>
      <c r="G24" s="905"/>
      <c r="H24" s="905"/>
      <c r="I24" s="906"/>
    </row>
    <row r="25" spans="1:9" x14ac:dyDescent="0.3">
      <c r="A25" s="907"/>
      <c r="B25" s="1036" t="s">
        <v>952</v>
      </c>
      <c r="C25" s="1037"/>
      <c r="D25" s="1037"/>
      <c r="E25" s="18"/>
      <c r="F25" s="1036" t="s">
        <v>974</v>
      </c>
      <c r="G25" s="1037"/>
      <c r="H25" s="1037"/>
      <c r="I25" s="924"/>
    </row>
    <row r="26" spans="1:9" x14ac:dyDescent="0.3">
      <c r="A26" s="907"/>
      <c r="B26" s="925" t="s">
        <v>662</v>
      </c>
      <c r="C26" s="925" t="s">
        <v>663</v>
      </c>
      <c r="D26" s="925" t="s">
        <v>751</v>
      </c>
      <c r="E26" s="925"/>
      <c r="F26" s="925" t="s">
        <v>662</v>
      </c>
      <c r="G26" s="925" t="s">
        <v>663</v>
      </c>
      <c r="H26" s="925" t="s">
        <v>751</v>
      </c>
      <c r="I26" s="924"/>
    </row>
    <row r="27" spans="1:9" x14ac:dyDescent="0.3">
      <c r="A27" s="907" t="s">
        <v>953</v>
      </c>
      <c r="B27" s="935">
        <f>3900+53800+530625</f>
        <v>588325</v>
      </c>
      <c r="C27" s="935">
        <v>191871</v>
      </c>
      <c r="D27" s="911">
        <f>+B27+C27</f>
        <v>780196</v>
      </c>
      <c r="E27" s="911"/>
      <c r="F27" s="910"/>
      <c r="G27" s="910"/>
      <c r="H27" s="911">
        <f>SUM(F27:G27)</f>
        <v>0</v>
      </c>
      <c r="I27" s="924"/>
    </row>
    <row r="28" spans="1:9" x14ac:dyDescent="0.3">
      <c r="A28" s="907" t="s">
        <v>977</v>
      </c>
      <c r="B28" s="935">
        <v>1225000</v>
      </c>
      <c r="C28" s="935"/>
      <c r="D28" s="911">
        <f t="shared" ref="D28:D30" si="11">+B28+C28</f>
        <v>1225000</v>
      </c>
      <c r="E28" s="911"/>
      <c r="F28" s="910"/>
      <c r="G28" s="910"/>
      <c r="H28" s="911">
        <f t="shared" ref="H28:H30" si="12">SUM(F28:G28)</f>
        <v>0</v>
      </c>
      <c r="I28" s="924"/>
    </row>
    <row r="29" spans="1:9" x14ac:dyDescent="0.3">
      <c r="A29" s="907" t="s">
        <v>954</v>
      </c>
      <c r="B29" s="935"/>
      <c r="C29" s="935"/>
      <c r="D29" s="911">
        <f t="shared" si="11"/>
        <v>0</v>
      </c>
      <c r="E29" s="911"/>
      <c r="F29" s="910"/>
      <c r="G29" s="910"/>
      <c r="H29" s="911">
        <f t="shared" si="12"/>
        <v>0</v>
      </c>
      <c r="I29" s="924"/>
    </row>
    <row r="30" spans="1:9" x14ac:dyDescent="0.3">
      <c r="A30" s="907" t="s">
        <v>955</v>
      </c>
      <c r="B30" s="935"/>
      <c r="C30" s="935"/>
      <c r="D30" s="911">
        <f t="shared" si="11"/>
        <v>0</v>
      </c>
      <c r="E30" s="911"/>
      <c r="F30" s="910"/>
      <c r="G30" s="910"/>
      <c r="H30" s="911">
        <f t="shared" si="12"/>
        <v>0</v>
      </c>
      <c r="I30" s="924"/>
    </row>
    <row r="31" spans="1:9" x14ac:dyDescent="0.3">
      <c r="A31" s="914" t="s">
        <v>751</v>
      </c>
      <c r="B31" s="911">
        <f>SUM(B27:B30)</f>
        <v>1813325</v>
      </c>
      <c r="C31" s="911">
        <f t="shared" ref="C31:D31" si="13">SUM(C27:C30)</f>
        <v>191871</v>
      </c>
      <c r="D31" s="911">
        <f t="shared" si="13"/>
        <v>2005196</v>
      </c>
      <c r="E31" s="911"/>
      <c r="F31" s="911">
        <f>SUM(F27:F30)</f>
        <v>0</v>
      </c>
      <c r="G31" s="911">
        <f t="shared" ref="G31:H31" si="14">SUM(G27:G30)</f>
        <v>0</v>
      </c>
      <c r="H31" s="911">
        <f t="shared" si="14"/>
        <v>0</v>
      </c>
      <c r="I31" s="924"/>
    </row>
    <row r="32" spans="1:9" x14ac:dyDescent="0.3">
      <c r="A32" s="907"/>
      <c r="B32" s="18"/>
      <c r="C32" s="18"/>
      <c r="D32" s="18"/>
      <c r="E32" s="18"/>
      <c r="F32" s="18"/>
      <c r="G32" s="18"/>
      <c r="H32" s="18"/>
      <c r="I32" s="924"/>
    </row>
    <row r="33" spans="1:10" ht="32.25" customHeight="1" x14ac:dyDescent="0.3">
      <c r="A33" s="1038" t="s">
        <v>956</v>
      </c>
      <c r="B33" s="1039"/>
      <c r="C33" s="908" t="s">
        <v>957</v>
      </c>
      <c r="D33" s="908" t="s">
        <v>958</v>
      </c>
      <c r="E33" s="925" t="s">
        <v>959</v>
      </c>
      <c r="F33" s="18"/>
      <c r="G33" s="18"/>
      <c r="H33" s="18"/>
      <c r="I33" s="924"/>
    </row>
    <row r="34" spans="1:10" x14ac:dyDescent="0.3">
      <c r="A34" s="1040" t="s">
        <v>960</v>
      </c>
      <c r="B34" s="1037"/>
      <c r="C34" s="910"/>
      <c r="D34" s="923">
        <f>IF(D21,C34/D21-1,0)</f>
        <v>0</v>
      </c>
      <c r="E34" s="911"/>
      <c r="F34" s="18"/>
      <c r="G34" s="18"/>
      <c r="H34" s="18"/>
      <c r="I34" s="924"/>
    </row>
    <row r="35" spans="1:10" x14ac:dyDescent="0.3">
      <c r="A35" s="1038" t="s">
        <v>961</v>
      </c>
      <c r="B35" s="1039"/>
      <c r="C35" s="910"/>
      <c r="D35" s="923">
        <f>IF(C21,C35/C21-1,0)</f>
        <v>0</v>
      </c>
      <c r="E35" s="911"/>
      <c r="F35" s="18"/>
      <c r="G35" s="18"/>
      <c r="H35" s="18"/>
      <c r="I35" s="924"/>
    </row>
    <row r="36" spans="1:10" x14ac:dyDescent="0.3">
      <c r="A36" s="907"/>
      <c r="B36" s="927" t="s">
        <v>962</v>
      </c>
      <c r="C36" s="911">
        <f>SUM(C34:C35)</f>
        <v>0</v>
      </c>
      <c r="D36" s="923">
        <f>IF((C21+D21),C36/(C21+D21),0)</f>
        <v>0</v>
      </c>
      <c r="E36" s="928">
        <v>0.05</v>
      </c>
      <c r="F36" s="18"/>
      <c r="G36" s="18"/>
      <c r="H36" s="18"/>
      <c r="I36" s="924"/>
    </row>
    <row r="37" spans="1:10" x14ac:dyDescent="0.3">
      <c r="A37" s="907"/>
      <c r="B37" s="927"/>
      <c r="C37" s="911"/>
      <c r="D37" s="911"/>
      <c r="E37" s="928"/>
      <c r="F37" s="18"/>
      <c r="G37" s="18"/>
      <c r="H37" s="18"/>
      <c r="I37" s="924"/>
    </row>
    <row r="38" spans="1:10" x14ac:dyDescent="0.3">
      <c r="A38" s="904" t="s">
        <v>983</v>
      </c>
      <c r="B38" s="905"/>
      <c r="C38" s="905"/>
      <c r="D38" s="905"/>
      <c r="E38" s="905"/>
      <c r="F38" s="905"/>
      <c r="G38" s="905"/>
      <c r="H38" s="905"/>
      <c r="I38" s="906"/>
    </row>
    <row r="39" spans="1:10" ht="49.5" x14ac:dyDescent="0.3">
      <c r="A39" s="907"/>
      <c r="B39" s="925" t="s">
        <v>963</v>
      </c>
      <c r="C39" s="925" t="s">
        <v>964</v>
      </c>
      <c r="D39" s="925" t="s">
        <v>965</v>
      </c>
      <c r="E39" s="925" t="s">
        <v>203</v>
      </c>
      <c r="F39" s="925" t="s">
        <v>966</v>
      </c>
      <c r="G39" s="925" t="s">
        <v>967</v>
      </c>
      <c r="H39" s="925" t="s">
        <v>968</v>
      </c>
      <c r="I39" s="909" t="s">
        <v>981</v>
      </c>
      <c r="J39" s="901"/>
    </row>
    <row r="40" spans="1:10" ht="33" x14ac:dyDescent="0.3">
      <c r="A40" s="929" t="s">
        <v>984</v>
      </c>
      <c r="B40" s="935">
        <v>3692</v>
      </c>
      <c r="C40" s="935">
        <v>3742</v>
      </c>
      <c r="D40" s="911">
        <f>+C40-B40</f>
        <v>50</v>
      </c>
      <c r="E40" s="930">
        <f>+D40/B40</f>
        <v>1.3542795232936078E-2</v>
      </c>
      <c r="F40" s="934">
        <v>1.9E-2</v>
      </c>
      <c r="G40" s="934">
        <v>2.8000000000000001E-2</v>
      </c>
      <c r="H40" s="934">
        <v>1.6E-2</v>
      </c>
      <c r="I40" s="936">
        <v>0.06</v>
      </c>
    </row>
    <row r="41" spans="1:10" x14ac:dyDescent="0.3">
      <c r="A41" s="929"/>
      <c r="B41" s="18"/>
      <c r="C41" s="18"/>
      <c r="D41" s="18"/>
      <c r="E41" s="18"/>
      <c r="F41" s="18"/>
      <c r="G41" s="18"/>
      <c r="H41" s="18"/>
      <c r="I41" s="924"/>
    </row>
    <row r="42" spans="1:10" x14ac:dyDescent="0.3">
      <c r="A42" s="932" t="s">
        <v>969</v>
      </c>
      <c r="B42" s="18"/>
      <c r="C42" s="18"/>
      <c r="D42" s="18"/>
      <c r="E42" s="18"/>
      <c r="F42" s="18"/>
      <c r="G42" s="18"/>
      <c r="H42" s="18"/>
      <c r="I42" s="924"/>
    </row>
    <row r="43" spans="1:10" ht="33" customHeight="1" x14ac:dyDescent="0.3">
      <c r="A43" s="907"/>
      <c r="B43" s="908" t="s">
        <v>979</v>
      </c>
      <c r="C43" s="908" t="s">
        <v>980</v>
      </c>
      <c r="D43" s="908" t="s">
        <v>978</v>
      </c>
      <c r="E43" s="908" t="s">
        <v>971</v>
      </c>
      <c r="F43" s="908" t="s">
        <v>970</v>
      </c>
      <c r="I43" s="924"/>
    </row>
    <row r="44" spans="1:10" x14ac:dyDescent="0.3">
      <c r="A44" s="907" t="s">
        <v>972</v>
      </c>
      <c r="B44" s="935">
        <v>968</v>
      </c>
      <c r="C44" s="935">
        <v>2824</v>
      </c>
      <c r="D44" s="935">
        <v>7710</v>
      </c>
      <c r="E44" s="935">
        <v>90</v>
      </c>
      <c r="F44" s="935">
        <v>255</v>
      </c>
      <c r="I44" s="924"/>
    </row>
    <row r="45" spans="1:10" x14ac:dyDescent="0.3">
      <c r="A45" s="907" t="s">
        <v>973</v>
      </c>
      <c r="B45" s="935">
        <v>968</v>
      </c>
      <c r="C45" s="935">
        <v>3147</v>
      </c>
      <c r="D45" s="935">
        <v>5541</v>
      </c>
      <c r="E45" s="935">
        <v>23</v>
      </c>
      <c r="F45" s="935">
        <v>78</v>
      </c>
      <c r="I45" s="924"/>
    </row>
    <row r="46" spans="1:10" x14ac:dyDescent="0.3">
      <c r="A46" s="907" t="s">
        <v>982</v>
      </c>
      <c r="B46" s="935">
        <v>2115</v>
      </c>
      <c r="C46" s="935">
        <v>3955</v>
      </c>
      <c r="D46" s="935">
        <v>5102</v>
      </c>
      <c r="E46" s="935">
        <v>7</v>
      </c>
      <c r="F46" s="935">
        <v>10</v>
      </c>
      <c r="I46" s="924"/>
    </row>
    <row r="47" spans="1:10" x14ac:dyDescent="0.3">
      <c r="A47" s="907" t="s">
        <v>995</v>
      </c>
      <c r="B47" s="935">
        <v>962</v>
      </c>
      <c r="C47" s="935">
        <v>3640</v>
      </c>
      <c r="D47" s="935">
        <v>14616</v>
      </c>
      <c r="E47" s="935">
        <v>477</v>
      </c>
      <c r="F47" s="935">
        <v>935</v>
      </c>
      <c r="I47" s="924"/>
    </row>
    <row r="48" spans="1:10" x14ac:dyDescent="0.3">
      <c r="A48" s="916"/>
      <c r="B48" s="917"/>
      <c r="C48" s="917"/>
      <c r="D48" s="917"/>
      <c r="E48" s="917"/>
      <c r="F48" s="917"/>
      <c r="G48" s="917"/>
      <c r="H48" s="917"/>
      <c r="I48" s="918"/>
    </row>
    <row r="49" spans="1:4" x14ac:dyDescent="0.3">
      <c r="A49" s="124" t="s">
        <v>985</v>
      </c>
    </row>
    <row r="50" spans="1:4" x14ac:dyDescent="0.3">
      <c r="A50" s="124" t="s">
        <v>999</v>
      </c>
      <c r="B50" s="903"/>
      <c r="C50" s="903"/>
      <c r="D50" s="903"/>
    </row>
    <row r="51" spans="1:4" x14ac:dyDescent="0.3">
      <c r="A51" s="124" t="s">
        <v>986</v>
      </c>
      <c r="B51" s="903"/>
      <c r="C51" s="903"/>
      <c r="D51" s="903"/>
    </row>
    <row r="52" spans="1:4" x14ac:dyDescent="0.3">
      <c r="A52" s="124" t="s">
        <v>987</v>
      </c>
      <c r="B52" s="903"/>
      <c r="C52" s="903"/>
      <c r="D52" s="903"/>
    </row>
    <row r="53" spans="1:4" x14ac:dyDescent="0.3">
      <c r="A53" s="124" t="s">
        <v>988</v>
      </c>
      <c r="B53" s="903"/>
      <c r="C53" s="903"/>
      <c r="D53" s="903"/>
    </row>
    <row r="54" spans="1:4" x14ac:dyDescent="0.3">
      <c r="A54" s="124" t="s">
        <v>996</v>
      </c>
      <c r="B54" s="903"/>
      <c r="C54" s="903"/>
      <c r="D54" s="903"/>
    </row>
    <row r="55" spans="1:4" x14ac:dyDescent="0.3">
      <c r="B55" s="903"/>
      <c r="C55" s="903"/>
      <c r="D55" s="903"/>
    </row>
    <row r="56" spans="1:4" x14ac:dyDescent="0.3">
      <c r="B56" s="903"/>
      <c r="C56" s="903"/>
      <c r="D56" s="903"/>
    </row>
    <row r="57" spans="1:4" x14ac:dyDescent="0.3">
      <c r="B57" s="903"/>
      <c r="C57" s="903"/>
      <c r="D57" s="903"/>
    </row>
    <row r="58" spans="1:4" x14ac:dyDescent="0.3">
      <c r="B58" s="903"/>
      <c r="C58" s="903"/>
      <c r="D58" s="903"/>
    </row>
    <row r="59" spans="1:4" x14ac:dyDescent="0.3">
      <c r="B59" s="903"/>
      <c r="C59" s="903"/>
      <c r="D59" s="903"/>
    </row>
    <row r="60" spans="1:4" x14ac:dyDescent="0.3">
      <c r="B60" s="903"/>
      <c r="C60" s="903"/>
      <c r="D60" s="903"/>
    </row>
    <row r="61" spans="1:4" x14ac:dyDescent="0.3">
      <c r="B61" s="903"/>
      <c r="C61" s="903"/>
      <c r="D61" s="903"/>
    </row>
    <row r="62" spans="1:4" x14ac:dyDescent="0.3">
      <c r="B62" s="903"/>
      <c r="C62" s="903"/>
      <c r="D62" s="903"/>
    </row>
  </sheetData>
  <mergeCells count="5">
    <mergeCell ref="B25:D25"/>
    <mergeCell ref="F25:H25"/>
    <mergeCell ref="A33:B33"/>
    <mergeCell ref="A34:B34"/>
    <mergeCell ref="A35:B35"/>
  </mergeCells>
  <pageMargins left="0.7" right="0.7" top="0.75" bottom="0.75" header="0.3" footer="0.3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28</vt:i4>
      </vt:variant>
    </vt:vector>
  </HeadingPairs>
  <TitlesOfParts>
    <vt:vector size="57" baseType="lpstr">
      <vt:lpstr>Instructions</vt:lpstr>
      <vt:lpstr>R-4 Form (1)</vt:lpstr>
      <vt:lpstr>R-4 Form (2)</vt:lpstr>
      <vt:lpstr>R-4 Form (3)</vt:lpstr>
      <vt:lpstr>UU</vt:lpstr>
      <vt:lpstr>USU</vt:lpstr>
      <vt:lpstr>WSU</vt:lpstr>
      <vt:lpstr>SUU</vt:lpstr>
      <vt:lpstr>SC</vt:lpstr>
      <vt:lpstr>DSU</vt:lpstr>
      <vt:lpstr>UVU</vt:lpstr>
      <vt:lpstr>SLCC</vt:lpstr>
      <vt:lpstr>Tuition Match</vt:lpstr>
      <vt:lpstr>Res UG &amp; Grad Rate</vt:lpstr>
      <vt:lpstr>Non- Res UG &amp; Grad Rate</vt:lpstr>
      <vt:lpstr>1st &amp; 2nd Tier Uses</vt:lpstr>
      <vt:lpstr>Inflation-tuition benchmarks</vt:lpstr>
      <vt:lpstr>Chart Data (Not In Agenda)</vt:lpstr>
      <vt:lpstr>WICHE &amp; RM Data</vt:lpstr>
      <vt:lpstr>WICHE &amp; RM UG Charts</vt:lpstr>
      <vt:lpstr>WICHE &amp; RM GR Charts</vt:lpstr>
      <vt:lpstr>Table 1 &amp; 2</vt:lpstr>
      <vt:lpstr>Table 3</vt:lpstr>
      <vt:lpstr>Table 4</vt:lpstr>
      <vt:lpstr>Table 5 &amp; 6</vt:lpstr>
      <vt:lpstr>Table 7</vt:lpstr>
      <vt:lpstr>Table 8 &amp; 9</vt:lpstr>
      <vt:lpstr>Table 10 &amp; 11</vt:lpstr>
      <vt:lpstr>Sheet1</vt:lpstr>
      <vt:lpstr>'1st &amp; 2nd Tier Uses'!Print_Area</vt:lpstr>
      <vt:lpstr>DSU!Print_Area</vt:lpstr>
      <vt:lpstr>'Inflation-tuition benchmarks'!Print_Area</vt:lpstr>
      <vt:lpstr>Instructions!Print_Area</vt:lpstr>
      <vt:lpstr>'Non- Res UG &amp; Grad Rate'!Print_Area</vt:lpstr>
      <vt:lpstr>'R-4 Form (1)'!Print_Area</vt:lpstr>
      <vt:lpstr>'R-4 Form (2)'!Print_Area</vt:lpstr>
      <vt:lpstr>'R-4 Form (3)'!Print_Area</vt:lpstr>
      <vt:lpstr>'Res UG &amp; Grad Rate'!Print_Area</vt:lpstr>
      <vt:lpstr>SC!Print_Area</vt:lpstr>
      <vt:lpstr>SLCC!Print_Area</vt:lpstr>
      <vt:lpstr>SUU!Print_Area</vt:lpstr>
      <vt:lpstr>'Table 1 &amp; 2'!Print_Area</vt:lpstr>
      <vt:lpstr>'Table 10 &amp; 11'!Print_Area</vt:lpstr>
      <vt:lpstr>'Table 3'!Print_Area</vt:lpstr>
      <vt:lpstr>'Table 4'!Print_Area</vt:lpstr>
      <vt:lpstr>'Table 5 &amp; 6'!Print_Area</vt:lpstr>
      <vt:lpstr>'Table 7'!Print_Area</vt:lpstr>
      <vt:lpstr>'Table 8 &amp; 9'!Print_Area</vt:lpstr>
      <vt:lpstr>'Tuition Match'!Print_Area</vt:lpstr>
      <vt:lpstr>USU!Print_Area</vt:lpstr>
      <vt:lpstr>UU!Print_Area</vt:lpstr>
      <vt:lpstr>UVU!Print_Area</vt:lpstr>
      <vt:lpstr>'WICHE &amp; RM GR Charts'!Print_Area</vt:lpstr>
      <vt:lpstr>'WICHE &amp; RM UG Charts'!Print_Area</vt:lpstr>
      <vt:lpstr>WSU!Print_Area</vt:lpstr>
      <vt:lpstr>'1st &amp; 2nd Tier Uses'!Print_Titles</vt:lpstr>
      <vt:lpstr>'Inflation-tuition benchmarks'!Print_Titles</vt:lpstr>
    </vt:vector>
  </TitlesOfParts>
  <Company>Utah System for Higher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Morris</dc:creator>
  <cp:lastModifiedBy>Malissa Jones</cp:lastModifiedBy>
  <cp:lastPrinted>2019-02-13T20:48:51Z</cp:lastPrinted>
  <dcterms:created xsi:type="dcterms:W3CDTF">2012-08-09T20:39:54Z</dcterms:created>
  <dcterms:modified xsi:type="dcterms:W3CDTF">2019-02-26T17:54:08Z</dcterms:modified>
</cp:coreProperties>
</file>